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elovell/Desktop/"/>
    </mc:Choice>
  </mc:AlternateContent>
  <xr:revisionPtr revIDLastSave="0" documentId="13_ncr:1_{9A735AD4-7E4E-EA4F-84C1-1C167D9DDBB4}" xr6:coauthVersionLast="47" xr6:coauthVersionMax="47" xr10:uidLastSave="{00000000-0000-0000-0000-000000000000}"/>
  <bookViews>
    <workbookView xWindow="-3540" yWindow="-19260" windowWidth="25600" windowHeight="14040" tabRatio="702" xr2:uid="{766E8919-4F08-45DA-B0D7-1B8E3E874482}"/>
  </bookViews>
  <sheets>
    <sheet name="Explainer" sheetId="8" r:id="rId1"/>
    <sheet name="Total call numbers" sheetId="1" r:id="rId2"/>
    <sheet name="Energy cases" sheetId="5" r:id="rId3"/>
    <sheet name="Retailers" sheetId="4" r:id="rId4"/>
    <sheet name="Median debts" sheetId="9" r:id="rId5"/>
    <sheet name="Large debts" sheetId="17" r:id="rId6"/>
    <sheet name="Income Source" sheetId="7" r:id="rId7"/>
    <sheet name="Family type" sheetId="10" r:id="rId8"/>
    <sheet name="Housing" sheetId="11" r:id="rId9"/>
    <sheet name="Identity" sheetId="3" r:id="rId10"/>
    <sheet name="Flagged Vulnerability" sheetId="12" r:id="rId11"/>
    <sheet name="Age" sheetId="18" r:id="rId12"/>
    <sheet name="Region" sheetId="19" r:id="rId13"/>
    <sheet name="COVID-19" sheetId="1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D13" i="19"/>
  <c r="D12" i="19"/>
  <c r="D11" i="19"/>
  <c r="D10" i="19"/>
  <c r="C12" i="19"/>
  <c r="C11" i="19"/>
  <c r="C10" i="19"/>
  <c r="I12" i="19"/>
  <c r="I11" i="19"/>
  <c r="I10" i="19"/>
  <c r="H12" i="19"/>
  <c r="H11" i="19"/>
  <c r="H10" i="19"/>
  <c r="C13" i="19"/>
  <c r="I4" i="19"/>
  <c r="I5" i="19"/>
  <c r="I3" i="19"/>
  <c r="D4" i="19"/>
  <c r="D5" i="19"/>
  <c r="D3" i="19"/>
  <c r="G13" i="19"/>
  <c r="G12" i="19"/>
  <c r="G11" i="19"/>
  <c r="G10" i="19"/>
  <c r="B12" i="19"/>
  <c r="B11" i="19"/>
  <c r="B10" i="19"/>
  <c r="H6" i="19"/>
  <c r="I6" i="19" s="1"/>
  <c r="C6" i="19"/>
  <c r="D6" i="19" s="1"/>
  <c r="B6" i="19"/>
  <c r="G6" i="19"/>
  <c r="C16" i="9"/>
  <c r="C8" i="9"/>
  <c r="J11" i="18"/>
  <c r="J10" i="18"/>
  <c r="J9" i="18"/>
  <c r="J8" i="18"/>
  <c r="J7" i="18"/>
  <c r="J6" i="18"/>
  <c r="J5" i="18"/>
  <c r="J4" i="18"/>
  <c r="J3" i="18"/>
  <c r="D14" i="5"/>
  <c r="Q16" i="5"/>
  <c r="Q2" i="5"/>
  <c r="F20" i="5"/>
  <c r="D20" i="5"/>
  <c r="I24" i="18"/>
  <c r="I23" i="18"/>
  <c r="I22" i="18"/>
  <c r="I21" i="18"/>
  <c r="I20" i="18"/>
  <c r="I19" i="18"/>
  <c r="I18" i="18"/>
  <c r="I17" i="18"/>
  <c r="I16" i="18"/>
  <c r="H23" i="18"/>
  <c r="H24" i="18"/>
  <c r="H22" i="18"/>
  <c r="H21" i="18"/>
  <c r="H20" i="18"/>
  <c r="H19" i="18"/>
  <c r="H18" i="18"/>
  <c r="H17" i="18"/>
  <c r="H16" i="18"/>
  <c r="G25" i="18"/>
  <c r="G24" i="18"/>
  <c r="G22" i="18"/>
  <c r="G21" i="18"/>
  <c r="G20" i="18"/>
  <c r="G19" i="18"/>
  <c r="G18" i="18"/>
  <c r="G17" i="18"/>
  <c r="G23" i="18"/>
  <c r="G16" i="18"/>
  <c r="D17" i="18"/>
  <c r="D18" i="18"/>
  <c r="D25" i="18" s="1"/>
  <c r="D19" i="18"/>
  <c r="D20" i="18"/>
  <c r="D21" i="18"/>
  <c r="D22" i="18"/>
  <c r="D23" i="18"/>
  <c r="D24" i="18"/>
  <c r="D16" i="18"/>
  <c r="C25" i="18"/>
  <c r="B25" i="18"/>
  <c r="I12" i="18"/>
  <c r="I11" i="18"/>
  <c r="I10" i="18"/>
  <c r="I9" i="18"/>
  <c r="I8" i="18"/>
  <c r="I7" i="18"/>
  <c r="I6" i="18"/>
  <c r="I5" i="18"/>
  <c r="I4" i="18"/>
  <c r="I3" i="18"/>
  <c r="H12" i="18"/>
  <c r="H11" i="18"/>
  <c r="H10" i="18"/>
  <c r="H9" i="18"/>
  <c r="H8" i="18"/>
  <c r="H7" i="18"/>
  <c r="H6" i="18"/>
  <c r="H5" i="18"/>
  <c r="H3" i="18"/>
  <c r="H4" i="18"/>
  <c r="G4" i="18"/>
  <c r="G5" i="18"/>
  <c r="G12" i="18" s="1"/>
  <c r="G6" i="18"/>
  <c r="G7" i="18"/>
  <c r="G8" i="18"/>
  <c r="G9" i="18"/>
  <c r="G10" i="18"/>
  <c r="G11" i="18"/>
  <c r="G3" i="18"/>
  <c r="C12" i="18"/>
  <c r="B12" i="18"/>
  <c r="D3" i="18"/>
  <c r="D4" i="18"/>
  <c r="D5" i="18"/>
  <c r="D6" i="18"/>
  <c r="D7" i="18"/>
  <c r="D8" i="18"/>
  <c r="D9" i="18"/>
  <c r="D10" i="18"/>
  <c r="D11" i="18"/>
  <c r="D12" i="18"/>
  <c r="C40" i="3"/>
  <c r="C39" i="3"/>
  <c r="C41" i="3"/>
  <c r="C33" i="3"/>
  <c r="C34" i="3"/>
  <c r="C32" i="3"/>
  <c r="B41" i="3"/>
  <c r="B34" i="3"/>
  <c r="C26" i="3"/>
  <c r="C24" i="3"/>
  <c r="C19" i="3"/>
  <c r="C18" i="3"/>
  <c r="C17" i="3"/>
  <c r="C11" i="3"/>
  <c r="C10" i="3"/>
  <c r="C5" i="3"/>
  <c r="C4" i="3"/>
  <c r="C3" i="3"/>
  <c r="B26" i="3"/>
  <c r="B19" i="3"/>
  <c r="C12" i="3"/>
  <c r="B12" i="3"/>
  <c r="B5" i="3"/>
  <c r="C2" i="17"/>
  <c r="C18" i="16"/>
  <c r="D18" i="16" s="1"/>
  <c r="B18" i="16"/>
  <c r="D13" i="16"/>
  <c r="D8" i="16"/>
  <c r="C8" i="16"/>
  <c r="B8" i="16"/>
  <c r="D3" i="16"/>
  <c r="AB15" i="4"/>
  <c r="AA15" i="4"/>
  <c r="V15" i="4"/>
  <c r="U15" i="4"/>
  <c r="P15" i="4"/>
  <c r="O15" i="4"/>
  <c r="AB2" i="4"/>
  <c r="AA2" i="4"/>
  <c r="V2" i="4"/>
  <c r="U2" i="4"/>
  <c r="Y2" i="4"/>
  <c r="AB3" i="4"/>
  <c r="AA3" i="4"/>
  <c r="V3" i="4"/>
  <c r="U3" i="4"/>
  <c r="AE3" i="4"/>
  <c r="F14" i="5"/>
  <c r="F12" i="5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M20" i="5"/>
  <c r="H20" i="5"/>
  <c r="G20" i="5"/>
  <c r="AA4" i="4"/>
  <c r="AB11" i="4"/>
  <c r="AA11" i="4"/>
  <c r="D31" i="11"/>
  <c r="D30" i="11"/>
  <c r="D29" i="11"/>
  <c r="D28" i="11"/>
  <c r="D27" i="11"/>
  <c r="D26" i="11"/>
  <c r="D25" i="11"/>
  <c r="D24" i="11"/>
  <c r="D23" i="11"/>
  <c r="D22" i="11"/>
  <c r="D21" i="11"/>
  <c r="D20" i="11"/>
  <c r="C31" i="11"/>
  <c r="C29" i="11"/>
  <c r="C28" i="11"/>
  <c r="C27" i="11"/>
  <c r="C26" i="11"/>
  <c r="C25" i="11"/>
  <c r="C24" i="11"/>
  <c r="C23" i="11"/>
  <c r="C21" i="11"/>
  <c r="C22" i="11"/>
  <c r="C30" i="11"/>
  <c r="C20" i="11"/>
  <c r="B31" i="11"/>
  <c r="B28" i="11"/>
  <c r="B27" i="11"/>
  <c r="B26" i="11"/>
  <c r="B25" i="11"/>
  <c r="B24" i="11"/>
  <c r="B23" i="11"/>
  <c r="B22" i="11"/>
  <c r="B21" i="11"/>
  <c r="B29" i="11"/>
  <c r="B30" i="11"/>
  <c r="B20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D4" i="11"/>
  <c r="D5" i="11"/>
  <c r="D6" i="11"/>
  <c r="D7" i="11"/>
  <c r="D8" i="11"/>
  <c r="D9" i="11"/>
  <c r="D10" i="11"/>
  <c r="D12" i="11"/>
  <c r="D14" i="11"/>
  <c r="I4" i="11"/>
  <c r="I5" i="11"/>
  <c r="I6" i="11"/>
  <c r="I7" i="11"/>
  <c r="I8" i="11"/>
  <c r="I9" i="11"/>
  <c r="I10" i="11"/>
  <c r="I11" i="11"/>
  <c r="I12" i="11"/>
  <c r="I13" i="11"/>
  <c r="I14" i="11"/>
  <c r="I3" i="11"/>
  <c r="H15" i="11"/>
  <c r="G15" i="11"/>
  <c r="C15" i="11"/>
  <c r="B15" i="11"/>
  <c r="G22" i="12"/>
  <c r="F22" i="12"/>
  <c r="E22" i="12"/>
  <c r="D22" i="12"/>
  <c r="C22" i="12"/>
  <c r="B22" i="12"/>
  <c r="G10" i="12"/>
  <c r="F10" i="12"/>
  <c r="E10" i="12"/>
  <c r="D10" i="12"/>
  <c r="C10" i="12"/>
  <c r="B10" i="12"/>
  <c r="G21" i="12"/>
  <c r="F21" i="12"/>
  <c r="E21" i="12"/>
  <c r="D21" i="12"/>
  <c r="C21" i="12"/>
  <c r="B21" i="12"/>
  <c r="G9" i="12"/>
  <c r="F9" i="12"/>
  <c r="E9" i="12"/>
  <c r="D9" i="12"/>
  <c r="C9" i="12"/>
  <c r="B9" i="12"/>
  <c r="I20" i="10"/>
  <c r="I19" i="10"/>
  <c r="I18" i="10"/>
  <c r="I17" i="10"/>
  <c r="I16" i="10"/>
  <c r="I15" i="10"/>
  <c r="I21" i="10"/>
  <c r="I14" i="10"/>
  <c r="H21" i="10"/>
  <c r="H20" i="10"/>
  <c r="H19" i="10"/>
  <c r="H18" i="10"/>
  <c r="H17" i="10"/>
  <c r="H16" i="10"/>
  <c r="H15" i="10"/>
  <c r="H14" i="10"/>
  <c r="G20" i="10"/>
  <c r="G19" i="10"/>
  <c r="G18" i="10"/>
  <c r="G17" i="10"/>
  <c r="G16" i="10"/>
  <c r="G15" i="10"/>
  <c r="G14" i="10"/>
  <c r="D20" i="10"/>
  <c r="D19" i="10"/>
  <c r="D18" i="10"/>
  <c r="D17" i="10"/>
  <c r="D16" i="10"/>
  <c r="D15" i="10"/>
  <c r="D21" i="10"/>
  <c r="D14" i="10"/>
  <c r="C20" i="10"/>
  <c r="C19" i="10"/>
  <c r="C18" i="10"/>
  <c r="C17" i="10"/>
  <c r="C16" i="10"/>
  <c r="C15" i="10"/>
  <c r="C21" i="10"/>
  <c r="C14" i="10"/>
  <c r="D4" i="10"/>
  <c r="D5" i="10"/>
  <c r="D6" i="10"/>
  <c r="D7" i="10"/>
  <c r="D8" i="10"/>
  <c r="D9" i="10"/>
  <c r="D3" i="10"/>
  <c r="I4" i="10"/>
  <c r="I5" i="10"/>
  <c r="I6" i="10"/>
  <c r="I7" i="10"/>
  <c r="I8" i="10"/>
  <c r="I9" i="10"/>
  <c r="I3" i="10"/>
  <c r="H10" i="10"/>
  <c r="I10" i="10" s="1"/>
  <c r="B20" i="10"/>
  <c r="B19" i="10"/>
  <c r="B18" i="10"/>
  <c r="B17" i="10"/>
  <c r="B16" i="10"/>
  <c r="B15" i="10"/>
  <c r="B14" i="10"/>
  <c r="C10" i="10"/>
  <c r="B10" i="10"/>
  <c r="G10" i="10"/>
  <c r="I22" i="7"/>
  <c r="I21" i="7"/>
  <c r="I20" i="7"/>
  <c r="I19" i="7"/>
  <c r="I18" i="7"/>
  <c r="I17" i="7"/>
  <c r="I16" i="7"/>
  <c r="I15" i="7"/>
  <c r="I23" i="7" s="1"/>
  <c r="H22" i="7"/>
  <c r="H21" i="7"/>
  <c r="H20" i="7"/>
  <c r="H19" i="7"/>
  <c r="H18" i="7"/>
  <c r="H17" i="7"/>
  <c r="H16" i="7"/>
  <c r="H15" i="7"/>
  <c r="H23" i="7" s="1"/>
  <c r="G22" i="7"/>
  <c r="G21" i="7"/>
  <c r="G20" i="7"/>
  <c r="G19" i="7"/>
  <c r="G18" i="7"/>
  <c r="G17" i="7"/>
  <c r="G16" i="7"/>
  <c r="G15" i="7"/>
  <c r="G23" i="7" s="1"/>
  <c r="D22" i="7"/>
  <c r="D21" i="7"/>
  <c r="D20" i="7"/>
  <c r="D19" i="7"/>
  <c r="D18" i="7"/>
  <c r="D17" i="7"/>
  <c r="D16" i="7"/>
  <c r="D15" i="7"/>
  <c r="D23" i="7" s="1"/>
  <c r="C22" i="7"/>
  <c r="C21" i="7"/>
  <c r="C20" i="7"/>
  <c r="C19" i="7"/>
  <c r="C18" i="7"/>
  <c r="C17" i="7"/>
  <c r="C16" i="7"/>
  <c r="C15" i="7"/>
  <c r="C23" i="7" s="1"/>
  <c r="B15" i="7"/>
  <c r="B22" i="7"/>
  <c r="B21" i="7"/>
  <c r="B20" i="7"/>
  <c r="B19" i="7"/>
  <c r="B18" i="7"/>
  <c r="B17" i="7"/>
  <c r="B16" i="7"/>
  <c r="I3" i="7"/>
  <c r="I4" i="7"/>
  <c r="I5" i="7"/>
  <c r="I6" i="7"/>
  <c r="I7" i="7"/>
  <c r="I8" i="7"/>
  <c r="I9" i="7"/>
  <c r="I10" i="7"/>
  <c r="H11" i="7"/>
  <c r="D3" i="7"/>
  <c r="D4" i="7"/>
  <c r="D5" i="7"/>
  <c r="D6" i="7"/>
  <c r="D7" i="7"/>
  <c r="D8" i="7"/>
  <c r="D9" i="7"/>
  <c r="C11" i="7"/>
  <c r="G11" i="7"/>
  <c r="I11" i="7" s="1"/>
  <c r="B11" i="7"/>
  <c r="D11" i="7" s="1"/>
  <c r="D19" i="9"/>
  <c r="T19" i="5"/>
  <c r="D18" i="9"/>
  <c r="T18" i="5"/>
  <c r="D17" i="9"/>
  <c r="D16" i="9"/>
  <c r="T16" i="5"/>
  <c r="D15" i="9"/>
  <c r="D9" i="9"/>
  <c r="T9" i="5"/>
  <c r="D8" i="9"/>
  <c r="T8" i="5"/>
  <c r="D6" i="9"/>
  <c r="T6" i="5"/>
  <c r="D4" i="9"/>
  <c r="T4" i="5"/>
  <c r="D5" i="9"/>
  <c r="C19" i="9"/>
  <c r="Q19" i="5"/>
  <c r="C18" i="9"/>
  <c r="Q18" i="5"/>
  <c r="C17" i="9"/>
  <c r="Q17" i="5"/>
  <c r="C15" i="9"/>
  <c r="Q15" i="5"/>
  <c r="C14" i="9"/>
  <c r="Q14" i="5"/>
  <c r="C12" i="9"/>
  <c r="C10" i="9"/>
  <c r="C9" i="9"/>
  <c r="Q9" i="5"/>
  <c r="Q8" i="5"/>
  <c r="C7" i="9"/>
  <c r="Q7" i="5"/>
  <c r="C6" i="9"/>
  <c r="Q6" i="5"/>
  <c r="C5" i="9"/>
  <c r="C4" i="9"/>
  <c r="C2" i="9"/>
  <c r="C3" i="9"/>
  <c r="B4" i="9"/>
  <c r="N4" i="5"/>
  <c r="D8" i="5"/>
  <c r="M16" i="4"/>
  <c r="N16" i="4"/>
  <c r="L16" i="4"/>
  <c r="I16" i="4"/>
  <c r="J16" i="4"/>
  <c r="E16" i="4"/>
  <c r="G16" i="4"/>
  <c r="I20" i="5"/>
  <c r="J20" i="5"/>
  <c r="K20" i="5"/>
  <c r="L20" i="5"/>
  <c r="E20" i="5"/>
  <c r="C20" i="5"/>
  <c r="B20" i="5"/>
  <c r="T17" i="5"/>
  <c r="T15" i="5"/>
  <c r="Q12" i="5"/>
  <c r="T11" i="5"/>
  <c r="Q10" i="5"/>
  <c r="Q5" i="5"/>
  <c r="Q4" i="5"/>
  <c r="T3" i="5"/>
  <c r="Q3" i="5"/>
  <c r="F3" i="5"/>
  <c r="F4" i="5"/>
  <c r="F5" i="5"/>
  <c r="F6" i="5"/>
  <c r="F7" i="5"/>
  <c r="F8" i="5"/>
  <c r="F9" i="5"/>
  <c r="F10" i="5"/>
  <c r="F11" i="5"/>
  <c r="F13" i="5"/>
  <c r="F15" i="5"/>
  <c r="F16" i="5"/>
  <c r="F17" i="5"/>
  <c r="F18" i="5"/>
  <c r="F19" i="5"/>
  <c r="F2" i="5"/>
  <c r="D3" i="5"/>
  <c r="D4" i="5"/>
  <c r="D5" i="5"/>
  <c r="D6" i="5"/>
  <c r="D7" i="5"/>
  <c r="D9" i="5"/>
  <c r="D10" i="5"/>
  <c r="D11" i="5"/>
  <c r="D12" i="5"/>
  <c r="D13" i="5"/>
  <c r="D15" i="5"/>
  <c r="D16" i="5"/>
  <c r="D17" i="5"/>
  <c r="D18" i="5"/>
  <c r="D19" i="5"/>
  <c r="D2" i="5"/>
  <c r="AB9" i="4"/>
  <c r="AA9" i="4"/>
  <c r="V9" i="4"/>
  <c r="U9" i="4"/>
  <c r="P9" i="4"/>
  <c r="O9" i="4"/>
  <c r="AB12" i="4"/>
  <c r="AA12" i="4"/>
  <c r="V12" i="4"/>
  <c r="U12" i="4"/>
  <c r="T16" i="4"/>
  <c r="V11" i="4"/>
  <c r="U11" i="4"/>
  <c r="AB7" i="4"/>
  <c r="AA7" i="4"/>
  <c r="V7" i="4"/>
  <c r="U7" i="4"/>
  <c r="V6" i="4"/>
  <c r="U6" i="4"/>
  <c r="S6" i="4"/>
  <c r="AA6" i="4"/>
  <c r="AB6" i="4"/>
  <c r="V8" i="4"/>
  <c r="U8" i="4"/>
  <c r="V5" i="4"/>
  <c r="U5" i="4"/>
  <c r="AB5" i="4"/>
  <c r="AA5" i="4"/>
  <c r="P13" i="4"/>
  <c r="V10" i="4"/>
  <c r="U10" i="4"/>
  <c r="AB4" i="4"/>
  <c r="Y3" i="4"/>
  <c r="Y4" i="4"/>
  <c r="Y5" i="4"/>
  <c r="Y6" i="4"/>
  <c r="Y7" i="4"/>
  <c r="Y8" i="4"/>
  <c r="Y9" i="4"/>
  <c r="Y10" i="4"/>
  <c r="Y11" i="4"/>
  <c r="Y12" i="4"/>
  <c r="Y13" i="4"/>
  <c r="Y15" i="4"/>
  <c r="V4" i="4"/>
  <c r="U4" i="4"/>
  <c r="S2" i="4"/>
  <c r="S3" i="4"/>
  <c r="S4" i="4"/>
  <c r="S5" i="4"/>
  <c r="S7" i="4"/>
  <c r="S8" i="4"/>
  <c r="S9" i="4"/>
  <c r="S10" i="4"/>
  <c r="S11" i="4"/>
  <c r="S12" i="4"/>
  <c r="S13" i="4"/>
  <c r="S14" i="4"/>
  <c r="S15" i="4"/>
  <c r="P4" i="4"/>
  <c r="O4" i="4"/>
  <c r="AE4" i="4"/>
  <c r="AE2" i="4"/>
  <c r="AE5" i="4"/>
  <c r="AE6" i="4"/>
  <c r="AE7" i="4"/>
  <c r="AE8" i="4"/>
  <c r="AE9" i="4"/>
  <c r="AE10" i="4"/>
  <c r="AE11" i="4"/>
  <c r="AE12" i="4"/>
  <c r="AE13" i="4"/>
  <c r="AE14" i="4"/>
  <c r="AE15" i="4"/>
  <c r="F15" i="4"/>
  <c r="H15" i="4"/>
  <c r="K15" i="4"/>
  <c r="B16" i="4"/>
  <c r="Z16" i="4"/>
  <c r="K14" i="4"/>
  <c r="H14" i="4"/>
  <c r="F14" i="4"/>
  <c r="K13" i="4"/>
  <c r="H13" i="4"/>
  <c r="F13" i="4"/>
  <c r="K12" i="4"/>
  <c r="H12" i="4"/>
  <c r="F12" i="4"/>
  <c r="K11" i="4"/>
  <c r="H11" i="4"/>
  <c r="F11" i="4"/>
  <c r="K10" i="4"/>
  <c r="H10" i="4"/>
  <c r="F10" i="4"/>
  <c r="K9" i="4"/>
  <c r="H9" i="4"/>
  <c r="F9" i="4"/>
  <c r="K8" i="4"/>
  <c r="H8" i="4"/>
  <c r="F8" i="4"/>
  <c r="K7" i="4"/>
  <c r="H7" i="4"/>
  <c r="F7" i="4"/>
  <c r="K6" i="4"/>
  <c r="H6" i="4"/>
  <c r="F6" i="4"/>
  <c r="K5" i="4"/>
  <c r="H5" i="4"/>
  <c r="F5" i="4"/>
  <c r="K4" i="4"/>
  <c r="H4" i="4"/>
  <c r="F4" i="4"/>
  <c r="K3" i="4"/>
  <c r="H3" i="4"/>
  <c r="F3" i="4"/>
  <c r="K2" i="4"/>
  <c r="H2" i="4"/>
  <c r="F2" i="4"/>
  <c r="B22" i="1"/>
  <c r="B21" i="1"/>
  <c r="I13" i="19" l="1"/>
  <c r="H13" i="19"/>
  <c r="B13" i="19"/>
  <c r="I25" i="18"/>
  <c r="H25" i="18"/>
  <c r="I15" i="11"/>
  <c r="C32" i="11"/>
  <c r="D32" i="11"/>
  <c r="D15" i="11"/>
  <c r="B32" i="11"/>
  <c r="I32" i="11"/>
  <c r="H32" i="11"/>
  <c r="G32" i="11"/>
  <c r="G21" i="10"/>
  <c r="D10" i="10"/>
  <c r="B21" i="10"/>
  <c r="B23" i="7"/>
  <c r="B11" i="1"/>
  <c r="B23" i="1"/>
  <c r="B5" i="1"/>
</calcChain>
</file>

<file path=xl/sharedStrings.xml><?xml version="1.0" encoding="utf-8"?>
<sst xmlns="http://schemas.openxmlformats.org/spreadsheetml/2006/main" count="478" uniqueCount="200">
  <si>
    <t>Total calls - all calls</t>
  </si>
  <si>
    <t>Total</t>
  </si>
  <si>
    <t>Total calls (where services provided)</t>
  </si>
  <si>
    <t>Total calls - Energy calls</t>
  </si>
  <si>
    <t>% energy calls (of calls where services provided)</t>
  </si>
  <si>
    <t>Retailer</t>
  </si>
  <si>
    <t>Number of calls</t>
  </si>
  <si>
    <t>Proportion of all energy calls</t>
  </si>
  <si>
    <t>No. of closed energy account debts</t>
  </si>
  <si>
    <t>Median amount of closed energy account debt</t>
  </si>
  <si>
    <t>Average amount of closed energy account debt</t>
  </si>
  <si>
    <t>Min amount of closed energy account debt</t>
  </si>
  <si>
    <t>Max amount of closed energy account debt</t>
  </si>
  <si>
    <t>Range of closed energy account debt</t>
  </si>
  <si>
    <t xml:space="preserve">Max open energy account debt amount </t>
  </si>
  <si>
    <t xml:space="preserve">Range of open electricity account debt amount </t>
  </si>
  <si>
    <t>No. calls with gas debt</t>
  </si>
  <si>
    <t>Median  gas debt amount</t>
  </si>
  <si>
    <t>Average gas debt amount</t>
  </si>
  <si>
    <t>Min gas debt amount</t>
  </si>
  <si>
    <t>Max gas debt amount</t>
  </si>
  <si>
    <t>Range of gas debt amount</t>
  </si>
  <si>
    <t>AGL</t>
  </si>
  <si>
    <t>Origin</t>
  </si>
  <si>
    <t>Simply Energy</t>
  </si>
  <si>
    <t>Energy Australia</t>
  </si>
  <si>
    <t>Momentum</t>
  </si>
  <si>
    <t>Lumo</t>
  </si>
  <si>
    <t>Alinta</t>
  </si>
  <si>
    <t>Click Energy</t>
  </si>
  <si>
    <t>Red Energy</t>
  </si>
  <si>
    <t>Sumo</t>
  </si>
  <si>
    <t>Dodo</t>
  </si>
  <si>
    <t>Powershop</t>
  </si>
  <si>
    <t>AS Numbers</t>
  </si>
  <si>
    <t>Tango</t>
  </si>
  <si>
    <t>UNKNOWN</t>
  </si>
  <si>
    <t>485353, 495901, 502740</t>
  </si>
  <si>
    <t>489122, 490221, 490293, 503817</t>
  </si>
  <si>
    <t>483287, 501781, 501820, 503822</t>
  </si>
  <si>
    <t>487747, 489097, 489090, 490238, 502741, 502737, 503780, 504675</t>
  </si>
  <si>
    <t>485330, 491127, 495969, 497060, 499047, 500786, 502713, 505520</t>
  </si>
  <si>
    <t>486548, 491121, 491141, 494724, 495867, 498111, 505515</t>
  </si>
  <si>
    <t>485357, 486584, 490284, 490291, 494735, 495853, 500800, 500930, 501836, 503832, 504607, 505496</t>
  </si>
  <si>
    <t>Month</t>
  </si>
  <si>
    <t>Cases with Gas issue</t>
  </si>
  <si>
    <t>Inappropriate referrals</t>
  </si>
  <si>
    <t>Unaffordable payment plans</t>
  </si>
  <si>
    <t>Max of closed energy account debt</t>
  </si>
  <si>
    <t>Max of gas debt amount noted</t>
  </si>
  <si>
    <t>Min of gas debt amount noted</t>
  </si>
  <si>
    <t>Threats of disconnection</t>
  </si>
  <si>
    <t>Disconnections</t>
  </si>
  <si>
    <t>Large Debt</t>
  </si>
  <si>
    <t>Totals</t>
  </si>
  <si>
    <t>Year</t>
  </si>
  <si>
    <t>Open account debts over $3,000</t>
  </si>
  <si>
    <t>Open account debts over $10,000</t>
  </si>
  <si>
    <t>Closed account debts over $3,000</t>
  </si>
  <si>
    <t>Closed account debts over $10,000</t>
  </si>
  <si>
    <t>Median closed energy account debt amount</t>
  </si>
  <si>
    <t>Median open energy acount debt amount</t>
  </si>
  <si>
    <t>Median gas debt amount</t>
  </si>
  <si>
    <t>Energy callers income source</t>
  </si>
  <si>
    <t>Income source</t>
  </si>
  <si>
    <t>2019</t>
  </si>
  <si>
    <t>Centrelink</t>
  </si>
  <si>
    <t>Employment</t>
  </si>
  <si>
    <t>No income</t>
  </si>
  <si>
    <t>Other</t>
  </si>
  <si>
    <t>Partner</t>
  </si>
  <si>
    <t>Superannuation/Investments</t>
  </si>
  <si>
    <t>All callers income sources</t>
  </si>
  <si>
    <t>Self-employed</t>
  </si>
  <si>
    <t>Not stated/unknown</t>
  </si>
  <si>
    <t>2020</t>
  </si>
  <si>
    <t>Couple with children</t>
  </si>
  <si>
    <t>Couple without children</t>
  </si>
  <si>
    <t>Group</t>
  </si>
  <si>
    <t>One parent with children</t>
  </si>
  <si>
    <t>Other family</t>
  </si>
  <si>
    <t>Person lives alone</t>
  </si>
  <si>
    <t>Unknown/not specified</t>
  </si>
  <si>
    <t>Household type</t>
  </si>
  <si>
    <t>All callers' household type</t>
  </si>
  <si>
    <t>All callers' household type as percentage</t>
  </si>
  <si>
    <t>Energy callers' household type as percentage</t>
  </si>
  <si>
    <t>Energy callers' household type</t>
  </si>
  <si>
    <t>Energy callers income source as percentage</t>
  </si>
  <si>
    <t>All callers income sources as percentage</t>
  </si>
  <si>
    <t>Life event</t>
  </si>
  <si>
    <t>Family violence</t>
  </si>
  <si>
    <t>Gambling addiction</t>
  </si>
  <si>
    <t>Mental health issues</t>
  </si>
  <si>
    <t>Limited capability (age/access to resources)</t>
  </si>
  <si>
    <t>Substance abuse</t>
  </si>
  <si>
    <t>All callers' flagged vulnerability as percentage</t>
  </si>
  <si>
    <t>All callers flagged vulnerability</t>
  </si>
  <si>
    <t>Energy callers flagged vulnerability</t>
  </si>
  <si>
    <t>Energy callers' flagged vulnerability as percentage</t>
  </si>
  <si>
    <t>Caravan Park</t>
  </si>
  <si>
    <t>Community housing</t>
  </si>
  <si>
    <t>Homeless</t>
  </si>
  <si>
    <t>Owned</t>
  </si>
  <si>
    <t>Private tenancy</t>
  </si>
  <si>
    <t>Public housing</t>
  </si>
  <si>
    <t>Purchasing</t>
  </si>
  <si>
    <t>Retirement village</t>
  </si>
  <si>
    <t>Unknown not specified</t>
  </si>
  <si>
    <t>Rooming house</t>
  </si>
  <si>
    <t>Transitional Housing/Refuge</t>
  </si>
  <si>
    <t>Living with family rent free</t>
  </si>
  <si>
    <t>Housing type - all callers</t>
  </si>
  <si>
    <t>Housing type - energy calls</t>
  </si>
  <si>
    <t>Housing type as percentage - all callers</t>
  </si>
  <si>
    <t>Housing type as percentage - energy calls</t>
  </si>
  <si>
    <t>Housing  type</t>
  </si>
  <si>
    <t>Market share</t>
  </si>
  <si>
    <t>n/a</t>
  </si>
  <si>
    <t>Proportion of callers disconnectied</t>
  </si>
  <si>
    <t>Proportion of callers received disconnection threat</t>
  </si>
  <si>
    <t>Frequency URG not offered (or  offered incorrectly)</t>
  </si>
  <si>
    <t>No. of unaffordable payment plans</t>
  </si>
  <si>
    <t>No. of disconnections</t>
  </si>
  <si>
    <t>No. of disconnection threats</t>
  </si>
  <si>
    <t>Proportion of caller with unaffordable payment plan</t>
  </si>
  <si>
    <t>No. of large debt</t>
  </si>
  <si>
    <t>No. of inappropriate referrals</t>
  </si>
  <si>
    <t>Yes</t>
  </si>
  <si>
    <t>No</t>
  </si>
  <si>
    <t>All callers' impacted by COVID-19</t>
  </si>
  <si>
    <t>All callers' impacted by COVID-19 as perecentage</t>
  </si>
  <si>
    <t>Energy callers' impacted by COVID-19</t>
  </si>
  <si>
    <t>Energy callers' impacted by COVID-19 as percentage</t>
  </si>
  <si>
    <t>485280, 489019, 489014, 489021, 489100, 489132, 495877, 495871, 495855, 495889, 495492, 495921, 495956, 497053, 498124</t>
  </si>
  <si>
    <t xml:space="preserve">Min open electricity account debt amount </t>
  </si>
  <si>
    <t>Median open  electricity account debt amount</t>
  </si>
  <si>
    <t>Average open electricity account debt amount</t>
  </si>
  <si>
    <t>No. calls with open electricity account debt noted</t>
  </si>
  <si>
    <t>486543, 487697, 490220, 490313, 490327, 491111, 491155,494744, 494715, 494717, 495904, 495919, 497910, 499105, 499931, 501780, 501765, 504606, 504604, 504679, 504645, 505462, 505474, 505491, 505493, 505510</t>
  </si>
  <si>
    <t>483684, 485315, 487663, 495995, 502758, 504599, 504663</t>
  </si>
  <si>
    <t>Note: First COVID-19 impact caller was in March 2020, there were 374 total calls during March-Dec 2020, and 62 energy-related calls during the same period</t>
  </si>
  <si>
    <t>Proportion  of calls</t>
  </si>
  <si>
    <t>URG not offered or offered incorrectly</t>
  </si>
  <si>
    <t>Cases where caller received URG</t>
  </si>
  <si>
    <t>No of calls</t>
  </si>
  <si>
    <t>% of calls</t>
  </si>
  <si>
    <t xml:space="preserve">No of calls </t>
  </si>
  <si>
    <t>* N.b. there were 6 calls where this data was not recorded (all 2019). These have been excluded from analysis</t>
  </si>
  <si>
    <t>* N.b. there were 102 calls where this data was not recorded (37 in 2019; 65 in 2020). These have been excluded from analysis</t>
  </si>
  <si>
    <t>* N.b. there were 5 calls where this data was not recorded (1 in 2019; 4 in 2020). These have been excluded from analysis</t>
  </si>
  <si>
    <t>* N.b. there were 3 calls where this data was not recorded (all 2019). These have been excluded from analysis</t>
  </si>
  <si>
    <t>Callers language who spoke language other than English at home - total calls</t>
  </si>
  <si>
    <t>Callers language who spoke language other than English at home - energy calls</t>
  </si>
  <si>
    <t>Callers who identified as Aboriginal and/or Torres Strait - total calls</t>
  </si>
  <si>
    <t>Callers who identified as Aboriginal and/or Torres Strait - energy calls</t>
  </si>
  <si>
    <t>Female callers - total calls</t>
  </si>
  <si>
    <t>Female callers - energy calls</t>
  </si>
  <si>
    <t>* N.b. Some callers may have presented with more than one vulnerability. Where callers presented with multiple vulnerabilties these have been recorded separately</t>
  </si>
  <si>
    <t>Unknown</t>
  </si>
  <si>
    <t>Under 19</t>
  </si>
  <si>
    <t>20-29</t>
  </si>
  <si>
    <t>30-39</t>
  </si>
  <si>
    <t>40-49</t>
  </si>
  <si>
    <t>50-59</t>
  </si>
  <si>
    <t>60-69</t>
  </si>
  <si>
    <t>70-79</t>
  </si>
  <si>
    <t>80-89</t>
  </si>
  <si>
    <t>Age - all caller's</t>
  </si>
  <si>
    <t>Age</t>
  </si>
  <si>
    <t>Age - energy callers</t>
  </si>
  <si>
    <t>Age - energy callers as %</t>
  </si>
  <si>
    <t>Age - all callers as %</t>
  </si>
  <si>
    <t>Average of gas debt amounts noted</t>
  </si>
  <si>
    <t>Average of open elec account debt at time of call</t>
  </si>
  <si>
    <t xml:space="preserve">Average of closed energy account debt </t>
  </si>
  <si>
    <t>Min of closed energy account debt</t>
  </si>
  <si>
    <t>Total calls</t>
  </si>
  <si>
    <t>Energy calls</t>
  </si>
  <si>
    <t>Energy calls (by %)</t>
  </si>
  <si>
    <t>Gas calls (by %)</t>
  </si>
  <si>
    <t>Energy calls with other debts</t>
  </si>
  <si>
    <t>Energy calls with other debts (by %)</t>
  </si>
  <si>
    <t>84</t>
  </si>
  <si>
    <t>63%</t>
  </si>
  <si>
    <t>Energy</t>
  </si>
  <si>
    <t>All callers</t>
  </si>
  <si>
    <t>All calls</t>
  </si>
  <si>
    <t xml:space="preserve">Energy </t>
  </si>
  <si>
    <t>Minimum  electricity  debt noted</t>
  </si>
  <si>
    <t>Maximum electricity  debt noted</t>
  </si>
  <si>
    <t>Region - all callers</t>
  </si>
  <si>
    <t>Metro</t>
  </si>
  <si>
    <t>Regional</t>
  </si>
  <si>
    <t>Region as percentage - all callers</t>
  </si>
  <si>
    <t>Region - energy callers</t>
  </si>
  <si>
    <t>Region as percentage - energy callers</t>
  </si>
  <si>
    <t>Column1</t>
  </si>
  <si>
    <t>This spreadsheet shares deidentified data used for Consumer Action Law Centre's 2021 Energy Assistance report. More information about data collection and analysis can be found in on pages 10-12 of the report (linked below).</t>
  </si>
  <si>
    <t>View/download the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</si>
</sst>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#,##0_ ;\-#,##0\ "/>
    <numFmt numFmtId="168" formatCode="mm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0"/>
      <name val="Corbel"/>
      <family val="2"/>
    </font>
    <font>
      <sz val="11"/>
      <color theme="1"/>
      <name val="Corbel"/>
      <family val="2"/>
    </font>
    <font>
      <i/>
      <sz val="11"/>
      <color theme="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70AD47"/>
        <bgColor indexed="64"/>
      </patternFill>
    </fill>
    <fill>
      <patternFill patternType="solid">
        <fgColor rgb="FF70AD47"/>
        <bgColor theme="9"/>
      </patternFill>
    </fill>
  </fills>
  <borders count="11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/>
      <right/>
      <top style="thin">
        <color rgb="FF70AD47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9" fontId="4" fillId="0" borderId="0" xfId="2" applyFo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1" fontId="0" fillId="0" borderId="0" xfId="2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1" applyNumberFormat="1" applyFont="1" applyFill="1"/>
    <xf numFmtId="167" fontId="0" fillId="0" borderId="0" xfId="1" applyNumberFormat="1" applyFont="1" applyFill="1"/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9" fontId="0" fillId="0" borderId="0" xfId="2" applyNumberFormat="1" applyFont="1" applyFill="1"/>
    <xf numFmtId="0" fontId="0" fillId="0" borderId="0" xfId="1" applyNumberFormat="1" applyFont="1" applyAlignment="1">
      <alignment horizontal="left" wrapText="1"/>
    </xf>
    <xf numFmtId="0" fontId="0" fillId="0" borderId="0" xfId="1" applyNumberFormat="1" applyFont="1" applyFill="1" applyAlignment="1">
      <alignment horizontal="left" wrapText="1"/>
    </xf>
    <xf numFmtId="0" fontId="0" fillId="0" borderId="0" xfId="0" applyAlignment="1"/>
    <xf numFmtId="0" fontId="5" fillId="2" borderId="0" xfId="0" applyFont="1" applyFill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7" fillId="2" borderId="0" xfId="0" applyFont="1" applyFill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166" fontId="0" fillId="0" borderId="0" xfId="1" applyNumberFormat="1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9" fontId="0" fillId="0" borderId="0" xfId="0" applyNumberFormat="1" applyProtection="1">
      <protection locked="0"/>
    </xf>
    <xf numFmtId="0" fontId="0" fillId="0" borderId="2" xfId="0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Border="1"/>
    <xf numFmtId="9" fontId="0" fillId="0" borderId="1" xfId="0" applyNumberFormat="1" applyBorder="1"/>
    <xf numFmtId="9" fontId="0" fillId="0" borderId="0" xfId="0" applyNumberFormat="1"/>
    <xf numFmtId="9" fontId="4" fillId="0" borderId="0" xfId="0" applyNumberFormat="1" applyFont="1"/>
    <xf numFmtId="0" fontId="4" fillId="0" borderId="1" xfId="0" applyFont="1" applyBorder="1"/>
    <xf numFmtId="0" fontId="4" fillId="0" borderId="0" xfId="0" applyFont="1" applyProtection="1">
      <protection locked="0"/>
    </xf>
    <xf numFmtId="9" fontId="4" fillId="0" borderId="0" xfId="0" applyNumberFormat="1" applyFont="1" applyProtection="1">
      <protection locked="0"/>
    </xf>
    <xf numFmtId="0" fontId="4" fillId="0" borderId="4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5" fillId="2" borderId="3" xfId="0" applyFont="1" applyFill="1" applyBorder="1"/>
    <xf numFmtId="41" fontId="8" fillId="0" borderId="5" xfId="0" applyNumberFormat="1" applyFont="1" applyBorder="1"/>
    <xf numFmtId="41" fontId="0" fillId="0" borderId="0" xfId="0" applyNumberFormat="1" applyFill="1"/>
    <xf numFmtId="44" fontId="0" fillId="0" borderId="0" xfId="0" applyNumberFormat="1"/>
    <xf numFmtId="44" fontId="0" fillId="0" borderId="0" xfId="1" applyNumberFormat="1" applyFont="1"/>
    <xf numFmtId="44" fontId="0" fillId="0" borderId="0" xfId="0" applyNumberFormat="1" applyFill="1"/>
    <xf numFmtId="44" fontId="0" fillId="0" borderId="0" xfId="1" applyNumberFormat="1" applyFont="1" applyFill="1"/>
    <xf numFmtId="44" fontId="0" fillId="0" borderId="0" xfId="1" applyNumberFormat="1" applyFont="1" applyAlignment="1">
      <alignment wrapText="1"/>
    </xf>
    <xf numFmtId="44" fontId="3" fillId="0" borderId="0" xfId="1" applyNumberFormat="1" applyFont="1" applyFill="1"/>
    <xf numFmtId="44" fontId="0" fillId="0" borderId="0" xfId="1" applyNumberFormat="1" applyFont="1" applyFill="1" applyAlignment="1">
      <alignment wrapText="1"/>
    </xf>
    <xf numFmtId="0" fontId="0" fillId="0" borderId="1" xfId="0" applyFont="1" applyBorder="1"/>
    <xf numFmtId="0" fontId="5" fillId="2" borderId="0" xfId="0" applyFont="1" applyFill="1" applyAlignment="1">
      <alignment horizontal="left" vertical="top" wrapText="1"/>
    </xf>
    <xf numFmtId="0" fontId="0" fillId="0" borderId="0" xfId="0" applyFont="1" applyBorder="1"/>
    <xf numFmtId="0" fontId="0" fillId="0" borderId="0" xfId="0" applyFont="1"/>
    <xf numFmtId="0" fontId="0" fillId="0" borderId="0" xfId="0" applyNumberFormat="1"/>
    <xf numFmtId="0" fontId="5" fillId="2" borderId="2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0" fillId="0" borderId="8" xfId="0" applyFont="1" applyBorder="1"/>
    <xf numFmtId="0" fontId="4" fillId="0" borderId="10" xfId="0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9" fontId="4" fillId="0" borderId="10" xfId="0" applyNumberFormat="1" applyFont="1" applyBorder="1"/>
    <xf numFmtId="41" fontId="4" fillId="0" borderId="10" xfId="0" applyNumberFormat="1" applyFont="1" applyBorder="1"/>
    <xf numFmtId="9" fontId="8" fillId="0" borderId="8" xfId="0" applyNumberFormat="1" applyFont="1" applyBorder="1"/>
    <xf numFmtId="9" fontId="8" fillId="0" borderId="7" xfId="0" applyNumberFormat="1" applyFont="1" applyBorder="1"/>
    <xf numFmtId="9" fontId="0" fillId="0" borderId="8" xfId="0" applyNumberFormat="1" applyFont="1" applyBorder="1"/>
    <xf numFmtId="9" fontId="0" fillId="0" borderId="7" xfId="0" applyNumberFormat="1" applyFont="1" applyBorder="1"/>
    <xf numFmtId="41" fontId="10" fillId="0" borderId="7" xfId="0" applyNumberFormat="1" applyFont="1" applyBorder="1"/>
    <xf numFmtId="3" fontId="0" fillId="0" borderId="0" xfId="1" applyNumberFormat="1" applyFont="1" applyFill="1"/>
    <xf numFmtId="0" fontId="2" fillId="0" borderId="0" xfId="0" applyFont="1" applyFill="1" applyAlignment="1">
      <alignment wrapText="1"/>
    </xf>
    <xf numFmtId="166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  <xf numFmtId="167" fontId="2" fillId="0" borderId="0" xfId="0" applyNumberFormat="1" applyFont="1" applyFill="1" applyAlignment="1">
      <alignment wrapText="1"/>
    </xf>
    <xf numFmtId="0" fontId="11" fillId="2" borderId="0" xfId="0" applyFont="1" applyFill="1" applyAlignment="1">
      <alignment wrapText="1"/>
    </xf>
    <xf numFmtId="9" fontId="11" fillId="2" borderId="0" xfId="2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2" fillId="0" borderId="0" xfId="0" applyFont="1"/>
    <xf numFmtId="17" fontId="12" fillId="0" borderId="1" xfId="0" applyNumberFormat="1" applyFont="1" applyBorder="1"/>
    <xf numFmtId="0" fontId="12" fillId="0" borderId="1" xfId="0" applyFont="1" applyBorder="1"/>
    <xf numFmtId="9" fontId="12" fillId="0" borderId="1" xfId="2" applyFont="1" applyBorder="1"/>
    <xf numFmtId="41" fontId="12" fillId="0" borderId="0" xfId="0" applyNumberFormat="1" applyFont="1" applyFill="1"/>
    <xf numFmtId="41" fontId="12" fillId="0" borderId="0" xfId="0" applyNumberFormat="1" applyFont="1"/>
    <xf numFmtId="0" fontId="12" fillId="0" borderId="1" xfId="0" applyFont="1" applyFill="1" applyBorder="1"/>
    <xf numFmtId="166" fontId="12" fillId="0" borderId="1" xfId="1" applyNumberFormat="1" applyFont="1" applyBorder="1"/>
    <xf numFmtId="164" fontId="12" fillId="0" borderId="1" xfId="1" applyNumberFormat="1" applyFont="1" applyBorder="1"/>
    <xf numFmtId="0" fontId="12" fillId="0" borderId="0" xfId="1" applyNumberFormat="1" applyFont="1" applyBorder="1"/>
    <xf numFmtId="9" fontId="12" fillId="0" borderId="0" xfId="1" applyNumberFormat="1" applyFont="1" applyBorder="1"/>
    <xf numFmtId="0" fontId="12" fillId="0" borderId="0" xfId="0" applyNumberFormat="1" applyFont="1" applyFill="1" applyAlignment="1">
      <alignment horizontal="right"/>
    </xf>
    <xf numFmtId="0" fontId="12" fillId="0" borderId="0" xfId="0" applyNumberFormat="1" applyFont="1" applyFill="1"/>
    <xf numFmtId="168" fontId="13" fillId="0" borderId="1" xfId="0" applyNumberFormat="1" applyFont="1" applyBorder="1"/>
    <xf numFmtId="0" fontId="13" fillId="0" borderId="1" xfId="0" applyFont="1" applyBorder="1"/>
    <xf numFmtId="9" fontId="13" fillId="0" borderId="1" xfId="0" applyNumberFormat="1" applyFont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right"/>
    </xf>
    <xf numFmtId="9" fontId="13" fillId="0" borderId="1" xfId="0" applyNumberFormat="1" applyFont="1" applyBorder="1" applyAlignment="1">
      <alignment horizontal="right"/>
    </xf>
    <xf numFmtId="0" fontId="12" fillId="0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0" borderId="0" xfId="3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 cent" xfId="2" builtinId="5"/>
  </cellStyles>
  <dxfs count="20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</dxf>
    <dxf>
      <numFmt numFmtId="13" formatCode="0%"/>
    </dxf>
    <dxf>
      <numFmt numFmtId="13" formatCode="0%"/>
    </dxf>
    <dxf>
      <numFmt numFmtId="13" formatCode="0%"/>
    </dxf>
    <dxf>
      <font>
        <b/>
      </font>
    </dxf>
    <dxf>
      <numFmt numFmtId="0" formatCode="General"/>
    </dxf>
    <dxf>
      <font>
        <b/>
      </font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/>
        <right/>
        <top style="thin">
          <color theme="9"/>
        </top>
        <bottom/>
        <vertical/>
        <horizontal/>
      </border>
    </dxf>
    <dxf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3" formatCode="0%"/>
      <protection locked="0" hidden="0"/>
    </dxf>
    <dxf>
      <numFmt numFmtId="13" formatCode="0%"/>
      <protection locked="0" hidden="0"/>
    </dxf>
    <dxf>
      <numFmt numFmtId="13" formatCode="0%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3" formatCode="0%"/>
      <protection locked="0" hidden="0"/>
    </dxf>
    <dxf>
      <numFmt numFmtId="13" formatCode="0%"/>
      <protection locked="0" hidden="0"/>
    </dxf>
    <dxf>
      <numFmt numFmtId="13" formatCode="0%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</dxf>
    <dxf>
      <numFmt numFmtId="168" formatCode="mmm/yy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3" formatCode="0%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4" formatCode="&quot;$&quot;#,##0;\-&quot;$&quot;#,##0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6" formatCode="_-&quot;$&quot;* #,##0_-;\-&quot;$&quot;* #,##0_-;_-&quot;$&quot;* &quot;-&quot;??_-;_-@_-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6" formatCode="_-&quot;$&quot;* #,##0_-;\-&quot;$&quot;* #,##0_-;_-&quot;$&quot;* &quot;-&quot;??_-;_-@_-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6" formatCode="_-&quot;$&quot;* #,##0_-;\-&quot;$&quot;* #,##0_-;_-&quot;$&quot;* &quot;-&quot;??_-;_-@_-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fill>
        <patternFill>
          <bgColor rgb="FFFFFF00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3" formatCode="0%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3" formatCode="0%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orbel"/>
        <family val="2"/>
        <scheme val="none"/>
      </font>
      <numFmt numFmtId="168" formatCode="mmm/yy"/>
      <border diagonalUp="0" diagonalDown="0" outline="0">
        <left/>
        <right/>
        <top style="thin">
          <color theme="9"/>
        </top>
        <bottom/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  <numFmt numFmtId="168" formatCode="mmm/yy"/>
      <border diagonalUp="0" diagonalDown="0" outline="0">
        <left/>
        <right/>
        <top style="thin">
          <color theme="9"/>
        </top>
        <bottom/>
      </border>
    </dxf>
    <dxf>
      <font>
        <b val="0"/>
        <i/>
        <strike val="0"/>
        <outline val="0"/>
        <shadow val="0"/>
        <u val="none"/>
        <vertAlign val="baseline"/>
        <sz val="11"/>
        <name val="Corbel"/>
        <family val="2"/>
        <scheme val="none"/>
      </font>
    </dxf>
    <dxf>
      <border outline="0">
        <right style="thin">
          <color theme="9"/>
        </right>
        <top style="thin">
          <color theme="9"/>
        </top>
      </border>
    </dxf>
    <dxf>
      <font>
        <strike val="0"/>
        <outline val="0"/>
        <shadow val="0"/>
        <u val="none"/>
        <vertAlign val="baseline"/>
        <sz val="11"/>
        <name val="Corbe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family val="2"/>
        <scheme val="none"/>
      </font>
      <fill>
        <patternFill patternType="solid">
          <fgColor theme="9"/>
          <bgColor theme="9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332930</xdr:colOff>
      <xdr:row>24</xdr:row>
      <xdr:rowOff>189871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9393B7-7798-4A7B-AEAD-CAA56E762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61905" cy="50285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ACFA3A-511D-4259-AEDF-61430832B5FC}" name="Table6" displayName="Table6" ref="A2:B5" totalsRowShown="0" headerRowDxfId="207">
  <autoFilter ref="A2:B5" xr:uid="{2D1AFB80-79D7-4663-9E46-0629B58E9462}">
    <filterColumn colId="0" hiddenButton="1"/>
    <filterColumn colId="1" hiddenButton="1"/>
  </autoFilter>
  <tableColumns count="2">
    <tableColumn id="1" xr3:uid="{30A5560E-E80A-4366-80C9-4407C22C9B63}" name="Year"/>
    <tableColumn id="2" xr3:uid="{E55CB970-E10D-433B-968B-A78251A3AA0B}" name="Number of calls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DB23D2-BDB8-8447-A976-49B62ECE8097}" name="Table11" displayName="Table11" ref="A14:D23" totalsRowShown="0" headerRowDxfId="71" dataDxfId="70">
  <autoFilter ref="A14:D23" xr:uid="{6969C2D4-0DDE-0648-8A0F-A2B3069DDC17}">
    <filterColumn colId="0" hiddenButton="1"/>
    <filterColumn colId="1" hiddenButton="1"/>
    <filterColumn colId="2" hiddenButton="1"/>
    <filterColumn colId="3" hiddenButton="1"/>
  </autoFilter>
  <tableColumns count="4">
    <tableColumn id="1" xr3:uid="{62F63E36-99A1-0C47-85CA-26C6483CCD21}" name="Income source" dataDxfId="69"/>
    <tableColumn id="2" xr3:uid="{8D70B149-FE10-F64D-8AAB-20EC7BAE6B24}" name="2019" dataDxfId="68"/>
    <tableColumn id="3" xr3:uid="{91627EE5-C008-CE42-8CFE-83407A52A60B}" name="2020" dataDxfId="67"/>
    <tableColumn id="4" xr3:uid="{61936ABE-2EAB-654A-8484-87BE45582D1C}" name="Energy" dataDxfId="66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3DE4D41-6B4A-A94B-AD6A-7F0A9EB9B48C}" name="Table12" displayName="Table12" ref="F14:I23" totalsRowShown="0" headerRowDxfId="65" dataDxfId="64">
  <autoFilter ref="F14:I23" xr:uid="{C593E1C6-A1E0-C94B-B6F4-381DB3074DD9}">
    <filterColumn colId="0" hiddenButton="1"/>
    <filterColumn colId="1" hiddenButton="1"/>
    <filterColumn colId="2" hiddenButton="1"/>
    <filterColumn colId="3" hiddenButton="1"/>
  </autoFilter>
  <tableColumns count="4">
    <tableColumn id="1" xr3:uid="{9C56FACD-2193-BD4F-8FAE-6EE2BB84C364}" name="Income source" dataDxfId="63"/>
    <tableColumn id="2" xr3:uid="{71FB3999-D362-744C-9A14-12B90296A627}" name="2019" dataDxfId="62"/>
    <tableColumn id="3" xr3:uid="{0FD7F476-2742-9545-A992-C428FEBA2DA0}" name="2020" dataDxfId="61"/>
    <tableColumn id="4" xr3:uid="{44E71C07-BDA7-3D44-A244-BC9EA65B1CCC}" name="All callers" dataDxfId="60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2A8130-D5F8-9848-9B88-72EFA1F25B27}" name="Table14" displayName="Table14" ref="F2:I11" totalsRowShown="0" headerRowDxfId="59" dataDxfId="58">
  <autoFilter ref="F2:I11" xr:uid="{D47EB526-8A46-2D49-9E58-58314F0AC202}">
    <filterColumn colId="0" hiddenButton="1"/>
    <filterColumn colId="1" hiddenButton="1"/>
    <filterColumn colId="2" hiddenButton="1"/>
    <filterColumn colId="3" hiddenButton="1"/>
  </autoFilter>
  <tableColumns count="4">
    <tableColumn id="1" xr3:uid="{391522E4-99A7-3E4A-B93E-A23E89201322}" name="Income source" dataDxfId="57"/>
    <tableColumn id="2" xr3:uid="{2F5A674D-0F81-0C45-9D1B-34096ADD2F44}" name="2019" dataDxfId="56"/>
    <tableColumn id="3" xr3:uid="{FE7D5C6B-D542-1342-8746-E2E67AB66C79}" name="2020" dataDxfId="55"/>
    <tableColumn id="4" xr3:uid="{46A57160-98E7-664E-8474-FB355FEE3225}" name="Total" dataDxfId="54">
      <calculatedColumnFormula>SUM(G3,H3)</calculatedColumnFormula>
    </tableColumn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56498DE-DB3A-8F4C-8616-F10EF96DD8FD}" name="Table15" displayName="Table15" ref="A2:D10" totalsRowShown="0">
  <autoFilter ref="A2:D10" xr:uid="{E9524A9E-4B5B-7244-A3D7-2CFD9465BE35}">
    <filterColumn colId="0" hiddenButton="1"/>
    <filterColumn colId="1" hiddenButton="1"/>
    <filterColumn colId="2" hiddenButton="1"/>
    <filterColumn colId="3" hiddenButton="1"/>
  </autoFilter>
  <tableColumns count="4">
    <tableColumn id="1" xr3:uid="{E9A164D7-5795-C048-93E4-ACB4438AAA9A}" name="Household type" dataDxfId="53"/>
    <tableColumn id="2" xr3:uid="{684DBC81-F7A8-5440-821D-9923CB73F81B}" name="2019" dataDxfId="52"/>
    <tableColumn id="3" xr3:uid="{2D52A533-E906-7144-A005-E95024A55647}" name="2020" dataDxfId="51"/>
    <tableColumn id="4" xr3:uid="{53FBF313-50D3-C646-B365-378709F0D0C6}" name="Total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6F1C1C4-BEE0-FB44-B981-F568391C7AA9}" name="Table16" displayName="Table16" ref="A13:D21" totalsRowShown="0">
  <autoFilter ref="A13:D21" xr:uid="{87C08D8B-394F-7744-8A6C-2BA6E46F9F4E}">
    <filterColumn colId="0" hiddenButton="1"/>
    <filterColumn colId="1" hiddenButton="1"/>
    <filterColumn colId="2" hiddenButton="1"/>
    <filterColumn colId="3" hiddenButton="1"/>
  </autoFilter>
  <tableColumns count="4">
    <tableColumn id="1" xr3:uid="{7FD6DD1B-75F3-2845-9337-13024813C63B}" name="Household type" dataDxfId="50"/>
    <tableColumn id="2" xr3:uid="{1D9BCF2D-87D0-784F-8ADE-D4CA9B613C08}" name="2019" dataDxfId="49"/>
    <tableColumn id="3" xr3:uid="{A3A5722F-9FE7-0043-A0AC-68C9A9D046F4}" name="2020" dataDxfId="48"/>
    <tableColumn id="4" xr3:uid="{C9D39581-954B-4A47-8451-61BFDB047DAB}" name="Energy" dataDxfId="47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A6302ED-006A-E249-980D-BF7DF90027C1}" name="Table17" displayName="Table17" ref="F2:I10" totalsRowShown="0">
  <autoFilter ref="F2:I10" xr:uid="{A0A904EF-D833-CD43-9543-CA9B22C8D355}">
    <filterColumn colId="0" hiddenButton="1"/>
    <filterColumn colId="1" hiddenButton="1"/>
    <filterColumn colId="2" hiddenButton="1"/>
    <filterColumn colId="3" hiddenButton="1"/>
  </autoFilter>
  <tableColumns count="4">
    <tableColumn id="1" xr3:uid="{E06A3696-57E0-314E-8C5D-29822CCE3381}" name="Household type" dataDxfId="46"/>
    <tableColumn id="2" xr3:uid="{7378C1C8-5B5C-0E47-B523-5209767E7C33}" name="2019" dataDxfId="45"/>
    <tableColumn id="3" xr3:uid="{87BBAB1E-AAC1-054E-97EB-3B78EA680738}" name="2020" dataDxfId="44"/>
    <tableColumn id="4" xr3:uid="{38280C90-F6C0-C640-B78B-6F42FF0AEA28}" name="Total" dataDxfId="43">
      <calculatedColumnFormula>SUM(G3:H3)</calculatedColumnFormula>
    </tableColumn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A00F22-D131-CC44-AA33-4213B55C40D2}" name="Table18" displayName="Table18" ref="F13:I21" totalsRowShown="0">
  <autoFilter ref="F13:I21" xr:uid="{F757E522-AEE1-7F44-9A84-D6E9FE2B3E15}">
    <filterColumn colId="0" hiddenButton="1"/>
    <filterColumn colId="1" hiddenButton="1"/>
    <filterColumn colId="2" hiddenButton="1"/>
    <filterColumn colId="3" hiddenButton="1"/>
  </autoFilter>
  <tableColumns count="4">
    <tableColumn id="1" xr3:uid="{0574816F-C54F-7E40-9C67-F6DD673E6016}" name="Household type" dataDxfId="42"/>
    <tableColumn id="2" xr3:uid="{F1F8D515-F7C0-524A-AB36-52371827C993}" name="2019" dataDxfId="41"/>
    <tableColumn id="3" xr3:uid="{7F5FE40C-B3E5-6C41-841E-82ED2C372A16}" name="2020" dataDxfId="40"/>
    <tableColumn id="4" xr3:uid="{4E57085E-F1D1-2F49-986F-0126817FFE44}" name="All calls" dataDxfId="39"/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F1E58E1-2490-3648-A046-F54BD02C7AD0}" name="Table19" displayName="Table19" ref="F19:I32" totalsRowShown="0">
  <autoFilter ref="F19:I32" xr:uid="{C838D40B-BC9D-B545-99CA-05D560FA72E0}">
    <filterColumn colId="0" hiddenButton="1"/>
    <filterColumn colId="1" hiddenButton="1"/>
    <filterColumn colId="2" hiddenButton="1"/>
    <filterColumn colId="3" hiddenButton="1"/>
  </autoFilter>
  <tableColumns count="4">
    <tableColumn id="1" xr3:uid="{21C4527A-937C-B440-B919-C45BBB7F647D}" name="Housing  type"/>
    <tableColumn id="2" xr3:uid="{CB8637CA-567B-504A-81E6-0B28A706AE75}" name="2019" dataDxfId="38"/>
    <tableColumn id="3" xr3:uid="{6D17D1ED-51D4-3D40-A37B-85D38A705E3D}" name="2020" dataDxfId="37"/>
    <tableColumn id="4" xr3:uid="{D553E7DF-A9C7-B040-97BC-196155547CC8}" name="All calls" dataDxfId="36"/>
  </tableColumns>
  <tableStyleInfo name="TableStyleLight1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C063635-7937-1142-822C-EA59B5DB8611}" name="Table20" displayName="Table20" ref="A19:D32" totalsRowShown="0">
  <autoFilter ref="A19:D32" xr:uid="{126EA5B6-A5AD-264F-81DC-7FDCC83E26D1}">
    <filterColumn colId="0" hiddenButton="1"/>
    <filterColumn colId="1" hiddenButton="1"/>
    <filterColumn colId="2" hiddenButton="1"/>
    <filterColumn colId="3" hiddenButton="1"/>
  </autoFilter>
  <tableColumns count="4">
    <tableColumn id="1" xr3:uid="{9F3C0914-29E8-BA4C-97E0-EFA1E5ED80F4}" name="Housing  type"/>
    <tableColumn id="2" xr3:uid="{6BB08805-863F-1649-9459-6A0E02B9E8C0}" name="2019" dataDxfId="35"/>
    <tableColumn id="3" xr3:uid="{4E50B1CE-2274-0246-9013-D34E553CB14A}" name="2020" dataDxfId="34"/>
    <tableColumn id="4" xr3:uid="{0E04533D-2B51-F440-A4F3-6B7B723F06AF}" name="Energy" dataDxfId="33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763113A-12F7-4743-BD6B-AB64E7E75ACF}" name="Table21" displayName="Table21" ref="F2:I15" totalsRowShown="0">
  <autoFilter ref="F2:I15" xr:uid="{B6640181-583B-0D48-92E1-78304252EA90}">
    <filterColumn colId="0" hiddenButton="1"/>
    <filterColumn colId="1" hiddenButton="1"/>
    <filterColumn colId="2" hiddenButton="1"/>
    <filterColumn colId="3" hiddenButton="1"/>
  </autoFilter>
  <tableColumns count="4">
    <tableColumn id="1" xr3:uid="{10CBB6AA-BB65-2C49-98F7-6987DF65CD7A}" name="Housing  type"/>
    <tableColumn id="2" xr3:uid="{4BEC1E16-16BD-A54A-BF18-F344BF134069}" name="2019"/>
    <tableColumn id="3" xr3:uid="{171D266E-FD9C-524B-96D9-25D761A1E358}" name="2020"/>
    <tableColumn id="4" xr3:uid="{A592D174-9B07-B34A-9878-3611AC3A7EE7}" name="Total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4B7F933-978E-4454-88DE-C80A0CB01762}" name="Table8" displayName="Table8" ref="A8:B11" totalsRowShown="0" headerRowDxfId="206">
  <autoFilter ref="A8:B11" xr:uid="{2FD28031-4C9E-4B42-809B-B20ED4128431}">
    <filterColumn colId="0" hiddenButton="1"/>
    <filterColumn colId="1" hiddenButton="1"/>
  </autoFilter>
  <tableColumns count="2">
    <tableColumn id="1" xr3:uid="{98DAD1EF-80A4-4DBB-86EE-855932E1B3D4}" name="Year"/>
    <tableColumn id="2" xr3:uid="{C3A6E079-C4B8-42FF-A022-1AF6B399C849}" name="Number of calls"/>
  </tableColumns>
  <tableStyleInfo name="TableStyleLight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26B7E62-797D-C744-982E-BBAE8FF47889}" name="Table24" displayName="Table24" ref="A2:D15" totalsRowShown="0">
  <autoFilter ref="A2:D15" xr:uid="{C8EB1AC5-77DB-2F4A-9211-131090344BA8}">
    <filterColumn colId="0" hiddenButton="1"/>
    <filterColumn colId="1" hiddenButton="1"/>
    <filterColumn colId="2" hiddenButton="1"/>
    <filterColumn colId="3" hiddenButton="1"/>
  </autoFilter>
  <tableColumns count="4">
    <tableColumn id="1" xr3:uid="{2AEB3D8B-055D-6744-86C1-2A38AFA10CE6}" name="Housing  type"/>
    <tableColumn id="2" xr3:uid="{BE4560FE-6E9D-6B4B-834B-8B850DF2C2D2}" name="2019"/>
    <tableColumn id="3" xr3:uid="{2D461C95-5EEC-2640-8212-CB3215D6B34B}" name="2020"/>
    <tableColumn id="4" xr3:uid="{BC808152-7AB1-484F-A1D8-44C4E7EFB4C7}" name="Total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56DFBD0-A063-4565-BAC4-99466BCE9741}" name="Table31" displayName="Table31" ref="A2:C5" totalsRowShown="0">
  <autoFilter ref="A2:C5" xr:uid="{F38F4343-18B3-409F-B019-4893E3B44111}">
    <filterColumn colId="0" hiddenButton="1"/>
    <filterColumn colId="1" hiddenButton="1"/>
    <filterColumn colId="2" hiddenButton="1"/>
  </autoFilter>
  <tableColumns count="3">
    <tableColumn id="1" xr3:uid="{490A7AD6-B030-4C3F-A602-4A9EBD58AADA}" name="Year"/>
    <tableColumn id="2" xr3:uid="{3BCA0B0A-71E7-4AC7-BC69-066C424276D5}" name="No of calls"/>
    <tableColumn id="3" xr3:uid="{909FB2F7-DB82-4BE1-9150-6C73B4E744CC}" name="% of calls" dataDxfId="32"/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E54147D-FEEE-4264-9B6D-8BBB5C9DB603}" name="Table32" displayName="Table32" ref="A9:C12" totalsRowShown="0">
  <autoFilter ref="A9:C12" xr:uid="{F096315B-2466-42D8-A408-572B0121A102}">
    <filterColumn colId="0" hiddenButton="1"/>
    <filterColumn colId="1" hiddenButton="1"/>
    <filterColumn colId="2" hiddenButton="1"/>
  </autoFilter>
  <tableColumns count="3">
    <tableColumn id="1" xr3:uid="{B7CAF612-AA60-4F55-BC62-98772A3E3E28}" name="Year"/>
    <tableColumn id="2" xr3:uid="{89B910DF-A9E2-431C-979D-4F6ED05E9B43}" name="No of calls "/>
    <tableColumn id="3" xr3:uid="{E7DF4E2D-6359-4B65-B116-F413F9AC079F}" name="% of calls" dataDxfId="31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A33B968-FCD0-4642-9A86-34DC0469D4EF}" name="Table33" displayName="Table33" ref="A16:C19" totalsRowShown="0">
  <autoFilter ref="A16:C19" xr:uid="{E156E3AB-3756-45C1-BC5F-D5701B9C22DB}">
    <filterColumn colId="0" hiddenButton="1"/>
    <filterColumn colId="1" hiddenButton="1"/>
    <filterColumn colId="2" hiddenButton="1"/>
  </autoFilter>
  <tableColumns count="3">
    <tableColumn id="1" xr3:uid="{3480D56D-7577-4DAF-8A11-0C2EDE625342}" name="Year"/>
    <tableColumn id="2" xr3:uid="{AA2218D2-7E2A-45C1-9A6A-40BB7C5A1ED6}" name="No of calls "/>
    <tableColumn id="3" xr3:uid="{D23914B9-82FA-4A69-9C34-62A94BD81B2E}" name="% of calls" dataDxfId="30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060770E-0C5A-467C-993E-CA19A623CFC2}" name="Table34" displayName="Table34" ref="A23:C26" totalsRowShown="0">
  <autoFilter ref="A23:C26" xr:uid="{5E70E913-461F-4453-A6A4-AF5DAA6E961C}">
    <filterColumn colId="0" hiddenButton="1"/>
    <filterColumn colId="1" hiddenButton="1"/>
    <filterColumn colId="2" hiddenButton="1"/>
  </autoFilter>
  <tableColumns count="3">
    <tableColumn id="1" xr3:uid="{A5815770-C244-40D1-A8D9-D924ED02A4A0}" name="Year"/>
    <tableColumn id="2" xr3:uid="{E61723E6-AD12-49C7-850D-7D5861E628A6}" name="No of calls "/>
    <tableColumn id="3" xr3:uid="{1412D329-6DD9-43C7-AD09-89A9E306C725}" name="% of calls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5345B3-B722-4B67-80B7-7840929DF6A4}" name="Table3136" displayName="Table3136" ref="A31:C34" totalsRowShown="0">
  <autoFilter ref="A31:C34" xr:uid="{AD941659-168B-45AA-B76C-08C7721BA30C}"/>
  <tableColumns count="3">
    <tableColumn id="1" xr3:uid="{2155000E-CCE8-4C1B-A835-B952DD1941E2}" name="Year"/>
    <tableColumn id="2" xr3:uid="{6D09C7C9-C297-4497-9351-BAE71B8AB423}" name="No of calls"/>
    <tableColumn id="3" xr3:uid="{D9711197-6FAC-489C-9A94-4744A66F0149}" name="% of calls" dataDxfId="29"/>
  </tableColumns>
  <tableStyleInfo name="TableStyleLight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E81D72F-83F0-4A42-AFBC-F4D60EC5A7CC}" name="Table3237" displayName="Table3237" ref="A38:C41" totalsRowShown="0">
  <autoFilter ref="A38:C41" xr:uid="{E067B758-6373-4541-9BD9-B9A4715F5100}"/>
  <tableColumns count="3">
    <tableColumn id="1" xr3:uid="{245E6379-026D-449B-A873-E89F929FB5FE}" name="Year"/>
    <tableColumn id="2" xr3:uid="{E44A3314-A50F-467B-89B1-E2974734C45D}" name="No of calls "/>
    <tableColumn id="3" xr3:uid="{7896A645-41C8-4814-8476-9A593B404AE5}" name="% of calls" dataDxfId="28"/>
  </tableColumns>
  <tableStyleInfo name="TableStyleLight1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77D513C-DF92-2E44-A94A-1423742C7799}" name="Table25" displayName="Table25" ref="A20:G22" totalsRowShown="0" headerRowDxfId="27" tableBorderDxfId="26">
  <autoFilter ref="A20:G22" xr:uid="{60E9196A-767F-DE41-8B67-410887E2AF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117F4D0-0CB6-274E-803A-9971AD778498}" name="Year"/>
    <tableColumn id="2" xr3:uid="{F7CFDF48-C66B-3144-B3B2-B087339C0DAE}" name="Life event" dataDxfId="25">
      <calculatedColumnFormula>63/92</calculatedColumnFormula>
    </tableColumn>
    <tableColumn id="3" xr3:uid="{F7FC9CF5-EC43-C045-B198-60F27E98BDEA}" name="Family violence" dataDxfId="24">
      <calculatedColumnFormula>8/92</calculatedColumnFormula>
    </tableColumn>
    <tableColumn id="4" xr3:uid="{FA025BB7-C291-DD4B-9D9C-53FE6131E783}" name="Gambling addiction" dataDxfId="23">
      <calculatedColumnFormula>1/92</calculatedColumnFormula>
    </tableColumn>
    <tableColumn id="5" xr3:uid="{F903A17E-244C-8749-8359-A31D29AF9D5F}" name="Mental health issues" dataDxfId="22">
      <calculatedColumnFormula>18/92</calculatedColumnFormula>
    </tableColumn>
    <tableColumn id="6" xr3:uid="{C19D1391-AFA2-D34A-A1CA-13D785E7FE3E}" name="Limited capability (age/access to resources)" dataDxfId="21">
      <calculatedColumnFormula>18/92</calculatedColumnFormula>
    </tableColumn>
    <tableColumn id="7" xr3:uid="{0015FAFB-FEDB-6547-9F15-46EC880B62CB}" name="Substance abuse" dataDxfId="20">
      <calculatedColumnFormula>0/92</calculatedColumnFormula>
    </tableColumn>
  </tableColumns>
  <tableStyleInfo name="TableStyleLight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1FFEB2D-9230-9640-BF29-2BF6D27CEFF4}" name="Table26" displayName="Table26" ref="A14:G16" totalsRowShown="0" headerRowDxfId="19" tableBorderDxfId="18">
  <autoFilter ref="A14:G16" xr:uid="{B91775D8-770C-364E-8790-E2B49B8123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5847BEA-C75F-2D41-9C03-812BE401FE67}" name="Year"/>
    <tableColumn id="2" xr3:uid="{B7E0F2C6-1F85-794E-837F-67D7B222B78F}" name="Life event"/>
    <tableColumn id="3" xr3:uid="{6F60D12C-5E16-F44C-B20F-4B26C46AC6E0}" name="Family violence"/>
    <tableColumn id="4" xr3:uid="{B2428A0B-533E-8446-9479-3F4CF89D5395}" name="Gambling addiction"/>
    <tableColumn id="5" xr3:uid="{67640567-DF75-5240-8554-644FB80711EA}" name="Mental health issues"/>
    <tableColumn id="6" xr3:uid="{02C1AF18-3F17-B741-9DAA-3118AFDED66F}" name="Limited capability (age/access to resources)"/>
    <tableColumn id="7" xr3:uid="{ADA3A15F-AC7B-6249-8995-A9E053BBEC87}" name="Substance abuse"/>
  </tableColumns>
  <tableStyleInfo name="TableStyleLight1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997B712-B70D-A34A-BAD5-B1AD0934CEB9}" name="Table27" displayName="Table27" ref="A8:G10" totalsRowShown="0" headerRowDxfId="17" tableBorderDxfId="16">
  <autoFilter ref="A8:G10" xr:uid="{5A06D9B5-C856-C34C-812E-605C9DCCAC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DCD2428-8978-804A-9A9E-620F7815DF0A}" name="Year"/>
    <tableColumn id="2" xr3:uid="{F4ADA75E-FF67-1341-8F7D-0660512175B5}" name="Life event" dataDxfId="15">
      <calculatedColumnFormula>243/497</calculatedColumnFormula>
    </tableColumn>
    <tableColumn id="3" xr3:uid="{21DA819A-A4D6-1543-823E-4D39A9CCD9FA}" name="Family violence" dataDxfId="14">
      <calculatedColumnFormula>33/497</calculatedColumnFormula>
    </tableColumn>
    <tableColumn id="4" xr3:uid="{1FB860DA-6E05-B04D-85F6-5419C791A60D}" name="Gambling addiction" dataDxfId="13">
      <calculatedColumnFormula>9/497</calculatedColumnFormula>
    </tableColumn>
    <tableColumn id="5" xr3:uid="{7BC5C6EE-FBA0-1E4E-83CA-AFA3265A109C}" name="Mental health issues" dataDxfId="12">
      <calculatedColumnFormula>67/497</calculatedColumnFormula>
    </tableColumn>
    <tableColumn id="6" xr3:uid="{4E62F3A5-6025-4243-B66A-DB0E7E7E186C}" name="Limited capability (age/access to resources)" dataDxfId="11">
      <calculatedColumnFormula>63/497</calculatedColumnFormula>
    </tableColumn>
    <tableColumn id="7" xr3:uid="{846D0A25-EBF8-CB43-BBFF-DBD80190BA57}" name="Substance abuse" dataDxfId="10">
      <calculatedColumnFormula>5/497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8C6384E-317D-4E7E-BDEF-7FEA9A4DA6DC}" name="Table10" displayName="Table10" ref="A14:B17" totalsRowShown="0" headerRowDxfId="205">
  <autoFilter ref="A14:B17" xr:uid="{CD0FDE3F-BC33-47A1-920C-6A1C2D3508A0}">
    <filterColumn colId="0" hiddenButton="1"/>
    <filterColumn colId="1" hiddenButton="1"/>
  </autoFilter>
  <tableColumns count="2">
    <tableColumn id="1" xr3:uid="{ED9646EE-660A-4568-8BD3-5C10831BF51F}" name="Year"/>
    <tableColumn id="2" xr3:uid="{91CCAE3C-B4AB-45D7-8F4A-278E641B0613}" name="Number of calls"/>
  </tableColumns>
  <tableStyleInfo name="TableStyleLight14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5676DD8-7E81-5C4B-B73E-F0EE20C14B7E}" name="Table28" displayName="Table28" ref="A2:G4" totalsRowShown="0" headerRowDxfId="9" tableBorderDxfId="8">
  <autoFilter ref="A2:G4" xr:uid="{24A1E2A1-70C6-BD4F-B011-0CA22248DB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3ECC6CE-0AAD-3E4A-8CC9-20DC8CF84BCF}" name="Year"/>
    <tableColumn id="2" xr3:uid="{4EA2095F-61DD-4547-8B6E-E2DFC13B9BA0}" name="Life event"/>
    <tableColumn id="3" xr3:uid="{2CE2179D-2638-BB41-91F0-525084DE5A43}" name="Family violence"/>
    <tableColumn id="4" xr3:uid="{E125D8A3-B4E5-9344-BBF9-D90B1146C541}" name="Gambling addiction"/>
    <tableColumn id="5" xr3:uid="{DFA668B9-CC7B-5E4B-ADA7-8E2CF92A8EDE}" name="Mental health issues"/>
    <tableColumn id="6" xr3:uid="{A27C3CE5-7EC4-6D45-B29B-55DB0A95BAFF}" name="Limited capability (age/access to resources)"/>
    <tableColumn id="7" xr3:uid="{73D24AFD-DED7-DA4E-89C0-96CD72D42BA4}" name="Substance abuse"/>
  </tableColumns>
  <tableStyleInfo name="TableStyleLight1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347120B-D2E1-4231-A02C-9BF3A54BB8C7}" name="Table40" displayName="Table40" ref="A2:D12" totalsRowShown="0" headerRowDxfId="7">
  <autoFilter ref="A2:D12" xr:uid="{41A8F4A7-B3F3-4A18-A59A-439CB52EF46C}">
    <filterColumn colId="0" hiddenButton="1"/>
    <filterColumn colId="1" hiddenButton="1"/>
    <filterColumn colId="2" hiddenButton="1"/>
    <filterColumn colId="3" hiddenButton="1"/>
  </autoFilter>
  <tableColumns count="4">
    <tableColumn id="1" xr3:uid="{A5979440-4FD0-4124-8E4B-42EA11959BBA}" name="Age"/>
    <tableColumn id="2" xr3:uid="{D66A9644-C357-4A21-833D-83700F339E31}" name="2019"/>
    <tableColumn id="3" xr3:uid="{39205073-91F4-4C53-ABF0-15462977DF30}" name="2020"/>
    <tableColumn id="4" xr3:uid="{23CF2CA6-EF40-44C8-B9AE-7EE49C76F830}" name="Total" dataDxfId="6">
      <calculatedColumnFormula>SUM(Table40[[#This Row],[2019]:[2020]])</calculatedColumnFormula>
    </tableColumn>
  </tableColumns>
  <tableStyleInfo name="TableStyleLight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A87F1CA-98B7-46C6-BDD8-098F6C01C670}" name="Table41" displayName="Table41" ref="F2:J12" totalsRowShown="0" headerRowDxfId="5">
  <autoFilter ref="F2:J12" xr:uid="{F3937D32-B71B-44C4-BC4A-66A2D85A85C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BC0B0B4-0ADF-4D53-9FE6-90EE97777137}" name="Age"/>
    <tableColumn id="2" xr3:uid="{995E6CD4-0541-415E-8308-8D9B97C3E104}" name="2019" dataDxfId="4">
      <calculatedColumnFormula>30/311</calculatedColumnFormula>
    </tableColumn>
    <tableColumn id="3" xr3:uid="{BA3ED904-3A68-4CF1-B19A-48591364B4EA}" name="2020" dataDxfId="3">
      <calculatedColumnFormula>3/497</calculatedColumnFormula>
    </tableColumn>
    <tableColumn id="4" xr3:uid="{4C7408B4-9AEF-4A9C-AC46-0360E4B91396}" name="Total calls"/>
    <tableColumn id="5" xr3:uid="{B6B6B98D-4DE7-3D4E-8ABC-57E72C9F125E}" name="Energy " dataDxfId="2"/>
  </tableColumns>
  <tableStyleInfo name="TableStyleLight1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33FC7B-E328-44D0-9A82-5E733FBA0F34}" name="Table42" displayName="Table42" ref="A15:D25" totalsRowShown="0" headerRowDxfId="1">
  <autoFilter ref="A15:D25" xr:uid="{0B90AF3B-EDA6-477A-B7D6-BFFB1E42D17F}">
    <filterColumn colId="0" hiddenButton="1"/>
    <filterColumn colId="1" hiddenButton="1"/>
    <filterColumn colId="2" hiddenButton="1"/>
    <filterColumn colId="3" hiddenButton="1"/>
  </autoFilter>
  <tableColumns count="4">
    <tableColumn id="1" xr3:uid="{F4963180-3CB3-4242-B089-C8751CCB75D8}" name="Age"/>
    <tableColumn id="2" xr3:uid="{6FC8727D-7F2D-49C5-A0B0-F05B4A3D897D}" name="2019"/>
    <tableColumn id="3" xr3:uid="{9BC96035-E593-461C-B6E3-D3EC4305055F}" name="2020"/>
    <tableColumn id="4" xr3:uid="{51E6619F-30A2-4283-A794-C91BFBBBD6F6}" name="Total"/>
  </tableColumns>
  <tableStyleInfo name="TableStyleLight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180FFBD-2270-4EFB-B0F3-EDC37F91B26B}" name="Table43" displayName="Table43" ref="F15:I25" totalsRowShown="0" headerRowDxfId="0">
  <autoFilter ref="F15:I25" xr:uid="{028919B8-AA21-428A-9DE8-C434FAA0675A}">
    <filterColumn colId="0" hiddenButton="1"/>
    <filterColumn colId="1" hiddenButton="1"/>
    <filterColumn colId="2" hiddenButton="1"/>
    <filterColumn colId="3" hiddenButton="1"/>
  </autoFilter>
  <tableColumns count="4">
    <tableColumn id="1" xr3:uid="{EFEBDACF-7C5B-4BC1-863B-7A12FBD8C112}" name="Age"/>
    <tableColumn id="2" xr3:uid="{1E23ED2E-E82B-493B-8D61-6EDB5D5A36AB}" name="2019"/>
    <tableColumn id="3" xr3:uid="{A4C2136C-8996-4CF6-AD0D-C87FA526E87A}" name="2020"/>
    <tableColumn id="4" xr3:uid="{4813BB31-1CC1-4E1F-B7C8-B68DC4F917CF}" name="Energy 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D2411ED-9E19-45A3-833D-DFB50B970F24}" name="Table29" displayName="Table29" ref="A20:B23" totalsRowShown="0" headerRowDxfId="204">
  <autoFilter ref="A20:B23" xr:uid="{4196FEAE-9B40-445E-8C2C-69AD61199485}">
    <filterColumn colId="0" hiddenButton="1"/>
    <filterColumn colId="1" hiddenButton="1"/>
  </autoFilter>
  <tableColumns count="2">
    <tableColumn id="1" xr3:uid="{AEB32B29-EADD-4E71-A627-4BEACCB5C8A5}" name="Year"/>
    <tableColumn id="2" xr3:uid="{B84DB15F-59F6-473B-9662-3FB7D7FDC446}" name="Proportion  of calls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6F7C8F-4A80-4B67-8124-92868EE178D6}" name="Table22" displayName="Table22" ref="A1:X20" totalsRowCount="1" headerRowDxfId="203" dataDxfId="202" totalsRowDxfId="200" tableBorderDxfId="201">
  <tableColumns count="24">
    <tableColumn id="1" xr3:uid="{DEBF13E1-45DF-4BDB-A262-6D2C119A95B5}" name="Month" totalsRowLabel="Totals" dataDxfId="199" totalsRowDxfId="198"/>
    <tableColumn id="2" xr3:uid="{EEC712A6-6D6E-4195-ADF0-15F9AF527F6F}" name="Total calls" totalsRowFunction="custom" dataDxfId="197" totalsRowDxfId="196">
      <totalsRowFormula>SUM(Table22[Total calls])</totalsRowFormula>
    </tableColumn>
    <tableColumn id="5" xr3:uid="{BA4B7F2D-783B-43FE-A937-97C1CD5FDBA5}" name="Energy calls" totalsRowFunction="custom" dataDxfId="195" totalsRowDxfId="194">
      <totalsRowFormula>SUM(Table22[Energy calls])</totalsRowFormula>
    </tableColumn>
    <tableColumn id="6" xr3:uid="{199FCC85-04AF-4DEB-BA5B-B1EFDF9EEEB3}" name="Energy calls (by %)" totalsRowFunction="custom" dataDxfId="193" totalsRowDxfId="192">
      <calculatedColumnFormula>C2/B2</calculatedColumnFormula>
      <totalsRowFormula>133/808</totalsRowFormula>
    </tableColumn>
    <tableColumn id="7" xr3:uid="{54277CD9-91EF-48ED-8179-E954E90A6B45}" name="Cases with Gas issue" totalsRowFunction="custom" dataDxfId="191" totalsRowDxfId="190">
      <totalsRowFormula>SUM(Table22[Cases with Gas issue])</totalsRowFormula>
    </tableColumn>
    <tableColumn id="8" xr3:uid="{FA079022-482E-404A-99AE-2C9003BC6936}" name="Gas calls (by %)" totalsRowFunction="custom" dataDxfId="189" totalsRowDxfId="188">
      <calculatedColumnFormula>Table22[[#This Row],[Cases with Gas issue]]/Table22[[#This Row],[Total calls]]</calculatedColumnFormula>
      <totalsRowFormula>58/133</totalsRowFormula>
    </tableColumn>
    <tableColumn id="4" xr3:uid="{1D69D278-06D5-7942-AA6D-872AA629330D}" name="Disconnections" totalsRowFunction="custom" dataDxfId="187" totalsRowDxfId="186">
      <totalsRowFormula>SUM(Table22[Disconnections])</totalsRowFormula>
    </tableColumn>
    <tableColumn id="3" xr3:uid="{68F2188A-6AFF-9845-A590-3EE484691492}" name="Threats of disconnection" totalsRowFunction="custom" dataDxfId="185" totalsRowDxfId="184">
      <totalsRowFormula>SUM(Table22[Threats of disconnection])</totalsRowFormula>
    </tableColumn>
    <tableColumn id="10" xr3:uid="{6A4022BE-FF6A-404D-ACF5-38D9811D1012}" name="URG not offered or offered incorrectly" totalsRowFunction="custom" dataDxfId="183" totalsRowDxfId="182">
      <totalsRowFormula>SUM(Table22[URG not offered or offered incorrectly])</totalsRowFormula>
    </tableColumn>
    <tableColumn id="11" xr3:uid="{D22F172C-B1DE-479D-8CA4-B9BFAE65377A}" name="Cases where caller received URG" totalsRowFunction="custom" dataDxfId="181" totalsRowDxfId="180">
      <totalsRowFormula>SUM(Table22[Cases where caller received URG])</totalsRowFormula>
    </tableColumn>
    <tableColumn id="12" xr3:uid="{AE04B9C6-51C8-4AAE-9803-C87F27EBEE44}" name="Unaffordable payment plans" totalsRowFunction="custom" dataDxfId="179" totalsRowDxfId="178">
      <totalsRowFormula>SUM(Table22[Unaffordable payment plans])</totalsRowFormula>
    </tableColumn>
    <tableColumn id="13" xr3:uid="{C989A0BC-17D9-42A1-957B-0E0AC915F474}" name="Large Debt" totalsRowFunction="custom" dataDxfId="177" totalsRowDxfId="176">
      <totalsRowFormula>SUM(Table22[Large Debt])</totalsRowFormula>
    </tableColumn>
    <tableColumn id="24" xr3:uid="{4A148CF9-B132-2140-8B47-0DB96A1BD404}" name="Inappropriate referrals" totalsRowFunction="custom" dataDxfId="175" totalsRowDxfId="174">
      <totalsRowFormula>SUM(Table22[Inappropriate referrals])</totalsRowFormula>
    </tableColumn>
    <tableColumn id="14" xr3:uid="{4146C3B5-3B4C-43C4-A4DD-515E8A623C0A}" name="Average of closed energy account debt " dataDxfId="173" totalsRowDxfId="172" dataCellStyle="Currency"/>
    <tableColumn id="15" xr3:uid="{66454075-1C7C-4FB2-8A3F-5971A41B5A19}" name="Max of closed energy account debt" dataDxfId="171" totalsRowDxfId="170" dataCellStyle="Currency"/>
    <tableColumn id="16" xr3:uid="{E198A2AB-5BDF-4259-8D58-07D72CD8A6DA}" name="Min of closed energy account debt" dataDxfId="169" totalsRowDxfId="168" dataCellStyle="Currency"/>
    <tableColumn id="17" xr3:uid="{7240DC39-4AA1-45BF-AAD7-F9C3BBADD4DA}" name="Average of open elec account debt at time of call" dataDxfId="167" totalsRowDxfId="166" dataCellStyle="Currency"/>
    <tableColumn id="18" xr3:uid="{46E64035-ED81-4C19-9649-9A8124E3A8E5}" name="Maximum electricity  debt noted" dataDxfId="165" totalsRowDxfId="164" dataCellStyle="Currency"/>
    <tableColumn id="19" xr3:uid="{D45E5FF8-3AAB-4E0E-924F-FD085E48314F}" name="Minimum  electricity  debt noted" dataDxfId="163" totalsRowDxfId="162" dataCellStyle="Currency"/>
    <tableColumn id="20" xr3:uid="{DAE55396-04F4-40CA-AF68-36FB4D7F545C}" name="Average of gas debt amounts noted" dataDxfId="161" totalsRowDxfId="160" dataCellStyle="Currency"/>
    <tableColumn id="21" xr3:uid="{0359E987-911E-4257-9AED-B322DE69D06C}" name="Max of gas debt amount noted" dataDxfId="159" totalsRowDxfId="158" dataCellStyle="Currency"/>
    <tableColumn id="23" xr3:uid="{8B7C3850-05EC-45FA-B016-C113A8D0E0F3}" name="Min of gas debt amount noted" dataDxfId="157" totalsRowDxfId="156" dataCellStyle="Currency"/>
    <tableColumn id="26" xr3:uid="{D1B64D8A-91E3-574B-8B6D-78687ABE1247}" name="Energy calls with other debts" totalsRowLabel="84" dataDxfId="155" totalsRowDxfId="154" dataCellStyle="Currency"/>
    <tableColumn id="25" xr3:uid="{F4213D92-0C7C-314A-99CB-017EA7D95262}" name="Energy calls with other debts (by %)" totalsRowLabel="63%" dataDxfId="153" totalsRowDxfId="152" dataCellStyle="Currency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E0F32-67CA-4F92-95D4-7844D184373F}" name="Table13" displayName="Table13" ref="A1:AG16" totalsRowCount="1" headerRowDxfId="151" dataDxfId="150" totalsRowDxfId="149" dataCellStyle="Currency">
  <autoFilter ref="A1:AG15" xr:uid="{FA27B1D3-47AC-438C-9FCC-8E38E04383CD}"/>
  <sortState xmlns:xlrd2="http://schemas.microsoft.com/office/spreadsheetml/2017/richdata2" ref="A2:AE14">
    <sortCondition descending="1" ref="C1:C14"/>
  </sortState>
  <tableColumns count="33">
    <tableColumn id="1" xr3:uid="{3C4F072A-95EE-428D-915E-92DDDCDC519A}" name="Retailer" dataDxfId="148" totalsRowDxfId="147"/>
    <tableColumn id="2" xr3:uid="{0BEC2BEC-9EBC-43E4-A3DF-CE6ADB56281A}" name="Number of calls" totalsRowFunction="custom" totalsRowDxfId="146">
      <totalsRowFormula>SUM(B2:B15)</totalsRowFormula>
    </tableColumn>
    <tableColumn id="28" xr3:uid="{C1D79034-354B-4E61-B354-7150CCFCB1BF}" name="Proportion of all energy calls" dataDxfId="145" totalsRowDxfId="144">
      <calculatedColumnFormula>B2/133</calculatedColumnFormula>
    </tableColumn>
    <tableColumn id="34" xr3:uid="{72937341-0EFB-0B42-8050-8F00B7D14B93}" name="Market share" totalsRowLabel="n/a" totalsRowDxfId="143"/>
    <tableColumn id="3" xr3:uid="{6FEBE9E3-34F8-4502-827F-7AF49848CF40}" name="No. of disconnections" totalsRowFunction="custom" totalsRowDxfId="142">
      <totalsRowFormula>SUM(E2:E15)</totalsRowFormula>
    </tableColumn>
    <tableColumn id="24" xr3:uid="{3B15E8C0-34A5-44B7-B649-1A1E186869E6}" name="Proportion of callers disconnectied" dataDxfId="141" totalsRowDxfId="140">
      <calculatedColumnFormula>Table13[[#This Row],[No. of disconnections]]/Table13[[#This Row],[Number of calls]]</calculatedColumnFormula>
    </tableColumn>
    <tableColumn id="4" xr3:uid="{2B489568-3CC6-48A4-BB6D-D04698107358}" name="No. of disconnection threats" totalsRowFunction="custom" totalsRowDxfId="139">
      <totalsRowFormula>SUM(G2:G15)</totalsRowFormula>
    </tableColumn>
    <tableColumn id="25" xr3:uid="{1E041E96-5477-4DD3-BABE-458980C84CEF}" name="Proportion of callers received disconnection threat" totalsRowDxfId="138">
      <calculatedColumnFormula>Table13[[#This Row],[No. of disconnection threats]]/Table13[[#This Row],[Number of calls]]</calculatedColumnFormula>
    </tableColumn>
    <tableColumn id="5" xr3:uid="{1DBFF27C-51B9-4342-9FE4-54C8C3F61FB4}" name="Frequency URG not offered (or  offered incorrectly)" totalsRowFunction="custom" totalsRowDxfId="137">
      <totalsRowFormula>SUM(I2:I15)</totalsRowFormula>
    </tableColumn>
    <tableColumn id="6" xr3:uid="{892DEC56-D5EF-43CB-9939-625DFE1E4E26}" name="No. of unaffordable payment plans" totalsRowFunction="custom" totalsRowDxfId="136">
      <totalsRowFormula>SUM(J2:J15)</totalsRowFormula>
    </tableColumn>
    <tableColumn id="32" xr3:uid="{8ED03E33-6A82-4D39-87F3-ECB06B98CC84}" name="Proportion of caller with unaffordable payment plan" totalsRowDxfId="135">
      <calculatedColumnFormula>Table13[[#This Row],[No. of unaffordable payment plans]]/Table13[[#This Row],[Number of calls]]</calculatedColumnFormula>
    </tableColumn>
    <tableColumn id="7" xr3:uid="{5F7A4078-80D1-47F9-AE0F-5A63DB3B451B}" name="No. of large debt" totalsRowFunction="custom" totalsRowDxfId="134">
      <totalsRowFormula>SUM(L2:L15)</totalsRowFormula>
    </tableColumn>
    <tableColumn id="8" xr3:uid="{6F56A825-545A-4882-9B91-0F79559737B2}" name="No. of inappropriate referrals" totalsRowFunction="custom" dataDxfId="133" totalsRowDxfId="132">
      <totalsRowFormula>SUM(M2:M15)</totalsRowFormula>
    </tableColumn>
    <tableColumn id="9" xr3:uid="{07BEDAF0-9618-4282-993B-4366E3D01557}" name="No. of closed energy account debts" totalsRowFunction="custom" dataDxfId="131" totalsRowDxfId="130">
      <totalsRowFormula>SUM(N2:N15)</totalsRowFormula>
    </tableColumn>
    <tableColumn id="30" xr3:uid="{47FFD6C6-AF28-4DCC-9761-55CDA3E4F180}" name="Median amount of closed energy account debt" dataDxfId="129" totalsRowDxfId="128">
      <calculatedColumnFormula>MEDIAN(340)</calculatedColumnFormula>
    </tableColumn>
    <tableColumn id="10" xr3:uid="{BC3521F2-A5F4-412F-9B7B-F58696012131}" name="Average amount of closed energy account debt" dataDxfId="127" totalsRowDxfId="126" dataCellStyle="Currency">
      <calculatedColumnFormula>AVERAGE(340)</calculatedColumnFormula>
    </tableColumn>
    <tableColumn id="11" xr3:uid="{28AC7752-771D-4C2E-BF72-373DC2BD7DD4}" name="Min amount of closed energy account debt" dataDxfId="125" totalsRowDxfId="124" dataCellStyle="Currency"/>
    <tableColumn id="12" xr3:uid="{CF402F71-843B-4A19-A4E5-675712C5DFB7}" name="Max amount of closed energy account debt" dataDxfId="123" totalsRowDxfId="122" dataCellStyle="Currency"/>
    <tableColumn id="26" xr3:uid="{03966A9C-DB8F-4CE0-9692-3EE31EC07682}" name="Range of closed energy account debt" dataDxfId="121" totalsRowDxfId="120" dataCellStyle="Currency">
      <calculatedColumnFormula>Table13[[#This Row],[Max amount of closed energy account debt]]-Table13[[#This Row],[Min amount of closed energy account debt]]</calculatedColumnFormula>
    </tableColumn>
    <tableColumn id="13" xr3:uid="{B7DD77FC-082D-48F7-8BA5-C643A5DA08A4}" name="No. calls with open electricity account debt noted" totalsRowFunction="custom" dataDxfId="119" totalsRowDxfId="118" dataCellStyle="Currency">
      <totalsRowFormula>SUM(Table13[No. calls with open electricity account debt noted])</totalsRowFormula>
    </tableColumn>
    <tableColumn id="14" xr3:uid="{C4E33E3D-487E-415C-86AC-FC58A390E500}" name="Average open electricity account debt amount" dataDxfId="117" totalsRowDxfId="116">
      <calculatedColumnFormula>AVERAGE(1200)</calculatedColumnFormula>
    </tableColumn>
    <tableColumn id="29" xr3:uid="{FB436611-A0E6-4B79-B089-3D25F3F890B2}" name="Median open  electricity account debt amount" dataDxfId="115" totalsRowDxfId="114" dataCellStyle="Currency">
      <calculatedColumnFormula>MEDIAN(1200)</calculatedColumnFormula>
    </tableColumn>
    <tableColumn id="15" xr3:uid="{5422732C-8D48-485D-AC7D-D44FCAC1E627}" name="Min open electricity account debt amount " dataDxfId="113" totalsRowDxfId="112" dataCellStyle="Currency"/>
    <tableColumn id="16" xr3:uid="{CA9D9EBD-29B7-4E65-948A-D919206ACB2B}" name="Max open energy account debt amount " dataDxfId="111" totalsRowDxfId="110" dataCellStyle="Currency"/>
    <tableColumn id="27" xr3:uid="{48763426-3480-4C1B-A669-52C91C86C3A0}" name="Range of open electricity account debt amount " dataDxfId="109" totalsRowDxfId="108" dataCellStyle="Currency">
      <calculatedColumnFormula>Table13[[#This Row],[Max open energy account debt amount ]]-Table13[[#This Row],[Min open electricity account debt amount ]]</calculatedColumnFormula>
    </tableColumn>
    <tableColumn id="17" xr3:uid="{E579063E-2E7D-4C81-848F-5FD1FEB89F36}" name="No. calls with gas debt" totalsRowFunction="custom" dataDxfId="107" totalsRowDxfId="106" dataCellStyle="Currency">
      <totalsRowFormula>SUM(Table13[No. calls with gas debt])</totalsRowFormula>
    </tableColumn>
    <tableColumn id="31" xr3:uid="{4AD98EF5-DD6E-4886-B0F2-2330AEEF823A}" name="Median  gas debt amount" dataDxfId="105" totalsRowDxfId="104" dataCellStyle="Currency">
      <calculatedColumnFormula>MEDIAN(1700,2700)</calculatedColumnFormula>
    </tableColumn>
    <tableColumn id="18" xr3:uid="{71B2C59E-3FE8-4746-8A56-2C05BA9EDFE1}" name="Average gas debt amount" dataDxfId="103" totalsRowDxfId="102" dataCellStyle="Currency">
      <calculatedColumnFormula>AVERAGE(1700,2700)</calculatedColumnFormula>
    </tableColumn>
    <tableColumn id="19" xr3:uid="{4CCB9460-CA27-4F06-905D-239BA2AF5BAA}" name="Min gas debt amount" dataDxfId="101" totalsRowDxfId="100"/>
    <tableColumn id="20" xr3:uid="{93BF27F3-98EE-4AF4-875E-C9B96C801E73}" name="Max gas debt amount" dataDxfId="99" totalsRowDxfId="98" dataCellStyle="Currency"/>
    <tableColumn id="21" xr3:uid="{ABAB58BA-4E2B-4017-A098-1EFE74447A45}" name="Range of gas debt amount" dataDxfId="97" totalsRowDxfId="96" dataCellStyle="Currency">
      <calculatedColumnFormula>Table13[[#This Row],[Max gas debt amount]]-Table13[[#This Row],[Min gas debt amount]]</calculatedColumnFormula>
    </tableColumn>
    <tableColumn id="23" xr3:uid="{058E56CF-249E-0948-B819-06C882506D29}" name="Column1" dataDxfId="95" totalsRowDxfId="94" dataCellStyle="Currency"/>
    <tableColumn id="33" xr3:uid="{896F2AEC-2DB3-4BD1-BA71-EED65B5F6EA6}" name="AS Numbers" dataDxfId="93" totalsRowDxfId="92" dataCellStyle="Currency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7C7115-6781-8C41-864D-1EE7365B958E}" name="Table23" displayName="Table23" ref="A1:D19" totalsRowShown="0" headerRowDxfId="91" dataDxfId="90" dataCellStyle="Currency">
  <autoFilter ref="A1:D19" xr:uid="{C274B69A-AC7A-0E45-A515-44A63996AC37}"/>
  <tableColumns count="4">
    <tableColumn id="1" xr3:uid="{BC022BC7-57D5-CF47-BFEB-24020F083E84}" name="Month" dataDxfId="89"/>
    <tableColumn id="2" xr3:uid="{4788F6E4-AA24-8B42-B188-E3DCD68648A9}" name="Median closed energy account debt amount" dataDxfId="88" dataCellStyle="Currency"/>
    <tableColumn id="3" xr3:uid="{30251C9D-D0CA-6F41-8A92-1597208DFDE2}" name="Median open energy acount debt amount" dataDxfId="87" dataCellStyle="Currency">
      <calculatedColumnFormula>MEDIAN(500,1100,2100)</calculatedColumnFormula>
    </tableColumn>
    <tableColumn id="4" xr3:uid="{DF4E50DE-AC89-6343-8A89-A2443ADF6B15}" name="Median gas debt amount" dataDxfId="86" dataCellStyle="Currency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D70C778-C29C-48BD-B520-1DC9DBB25D46}" name="Table30" displayName="Table30" ref="A1:E3" totalsRowShown="0" headerRowDxfId="85" dataDxfId="84" tableBorderDxfId="83">
  <autoFilter ref="A1:E3" xr:uid="{4499DB73-CDB2-4897-9ADD-32B5B4F4F2A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17C07D1-51B4-48E5-B35F-EEE0727C82AF}" name="Year" dataDxfId="82"/>
    <tableColumn id="2" xr3:uid="{4F61B377-9883-4A59-B99F-DD0A9986CC6E}" name="Open account debts over $3,000" dataDxfId="81"/>
    <tableColumn id="3" xr3:uid="{17957891-6A39-40F9-85BC-C5402DACE2BE}" name="Open account debts over $10,000" dataDxfId="80"/>
    <tableColumn id="4" xr3:uid="{3F34E9B9-A274-4C60-8E5D-C0C3D5CE17B6}" name="Closed account debts over $3,000" dataDxfId="79"/>
    <tableColumn id="5" xr3:uid="{B296D968-4713-4582-A366-A0B29DCA210D}" name="Closed account debts over $10,000" dataDxfId="78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563579A-A05C-1F4C-850C-4F048D64E871}" name="Table9" displayName="Table9" ref="A2:D11" totalsRowShown="0" headerRowDxfId="77" dataDxfId="76">
  <tableColumns count="4">
    <tableColumn id="1" xr3:uid="{C2036FC6-83A3-9443-A750-B075277FF380}" name="Income source" dataDxfId="75"/>
    <tableColumn id="2" xr3:uid="{9A9431DE-1F2E-AC48-9409-4F7E7761FE66}" name="2019" dataDxfId="74"/>
    <tableColumn id="3" xr3:uid="{38073A0D-72D4-E24A-B286-72CDA73C196B}" name="2020" dataDxfId="73"/>
    <tableColumn id="4" xr3:uid="{A44BD502-0CB0-944E-BB8B-E24050610136}" name="Total" dataDxfId="72">
      <calculatedColumnFormula>SUM(B3,C3)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onsumeraction.org.au/wp-content/uploads/2021/09/210810_Energy-Assistance-Report_2nd-Edition_V4.pdf" TargetMode="External"/><Relationship Id="rId1" Type="http://schemas.openxmlformats.org/officeDocument/2006/relationships/hyperlink" Target="https://consumeraction.org.au/?p=32002&amp;preview=tru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4" Type="http://schemas.openxmlformats.org/officeDocument/2006/relationships/table" Target="../tables/table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05-9703-4B7F-8A3E-DDAF8D13AA4E}">
  <dimension ref="G1:O9"/>
  <sheetViews>
    <sheetView tabSelected="1" workbookViewId="0">
      <selection activeCell="N19" sqref="N19"/>
    </sheetView>
  </sheetViews>
  <sheetFormatPr baseColWidth="10" defaultColWidth="8.6640625" defaultRowHeight="15" x14ac:dyDescent="0.2"/>
  <cols>
    <col min="1" max="1" width="22.33203125" customWidth="1"/>
  </cols>
  <sheetData>
    <row r="1" spans="7:15" ht="36" customHeight="1" x14ac:dyDescent="0.2">
      <c r="G1" s="103" t="s">
        <v>198</v>
      </c>
      <c r="H1" s="103"/>
      <c r="I1" s="103"/>
      <c r="J1" s="103"/>
      <c r="K1" s="103"/>
      <c r="L1" s="103"/>
      <c r="M1" s="103"/>
      <c r="N1" s="103"/>
      <c r="O1" s="103"/>
    </row>
    <row r="2" spans="7:15" x14ac:dyDescent="0.2">
      <c r="G2" s="103"/>
      <c r="H2" s="103"/>
      <c r="I2" s="103"/>
      <c r="J2" s="103"/>
      <c r="K2" s="103"/>
      <c r="L2" s="103"/>
      <c r="M2" s="103"/>
      <c r="N2" s="103"/>
      <c r="O2" s="103"/>
    </row>
    <row r="3" spans="7:15" x14ac:dyDescent="0.2">
      <c r="G3" s="103"/>
      <c r="H3" s="103"/>
      <c r="I3" s="103"/>
      <c r="J3" s="103"/>
      <c r="K3" s="103"/>
      <c r="L3" s="103"/>
      <c r="M3" s="103"/>
      <c r="N3" s="103"/>
      <c r="O3" s="103"/>
    </row>
    <row r="6" spans="7:15" x14ac:dyDescent="0.2">
      <c r="H6" s="104" t="s">
        <v>199</v>
      </c>
      <c r="I6" s="104"/>
      <c r="J6" s="104"/>
      <c r="K6" s="104"/>
      <c r="L6" s="104"/>
      <c r="M6" s="104"/>
      <c r="N6" s="104"/>
    </row>
    <row r="9" spans="7:15" x14ac:dyDescent="0.2">
      <c r="G9" s="21"/>
      <c r="H9" s="21"/>
      <c r="I9" s="21"/>
      <c r="J9" s="21"/>
      <c r="K9" s="21"/>
      <c r="L9" s="21"/>
      <c r="M9" s="21"/>
      <c r="N9" s="21"/>
      <c r="O9" s="21"/>
    </row>
  </sheetData>
  <mergeCells count="2">
    <mergeCell ref="G1:O3"/>
    <mergeCell ref="H6:N6"/>
  </mergeCells>
  <hyperlinks>
    <hyperlink ref="H6" r:id="rId1" display="https://consumeraction.org.au/?p=32002&amp;preview=true" xr:uid="{D6C34EBC-3BD9-425D-8E06-1EB5F70A04C8}"/>
    <hyperlink ref="H6:N6" r:id="rId2" display="View/download the report" xr:uid="{B68CF557-1A04-4AE5-809F-98AF6964E783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48E7-FD62-4834-ACBE-8D0D57BDB98F}">
  <dimension ref="A1:V41"/>
  <sheetViews>
    <sheetView workbookViewId="0">
      <selection activeCell="C42" sqref="C42"/>
    </sheetView>
  </sheetViews>
  <sheetFormatPr baseColWidth="10" defaultColWidth="8.6640625" defaultRowHeight="15" x14ac:dyDescent="0.2"/>
  <cols>
    <col min="1" max="1" width="29.1640625" customWidth="1"/>
    <col min="2" max="2" width="31.1640625" bestFit="1" customWidth="1"/>
    <col min="3" max="6" width="31.1640625" customWidth="1"/>
    <col min="7" max="7" width="29.6640625" customWidth="1"/>
    <col min="8" max="8" width="33.33203125" customWidth="1"/>
    <col min="9" max="10" width="19.5" customWidth="1"/>
    <col min="13" max="13" width="17" bestFit="1" customWidth="1"/>
    <col min="14" max="16" width="17" customWidth="1"/>
    <col min="19" max="19" width="17" bestFit="1" customWidth="1"/>
    <col min="20" max="21" width="17" customWidth="1"/>
    <col min="22" max="22" width="12.33203125" bestFit="1" customWidth="1"/>
    <col min="23" max="23" width="17" bestFit="1" customWidth="1"/>
    <col min="24" max="24" width="9.33203125" bestFit="1" customWidth="1"/>
    <col min="25" max="25" width="17" bestFit="1" customWidth="1"/>
    <col min="26" max="26" width="12.33203125" bestFit="1" customWidth="1"/>
    <col min="27" max="27" width="17" bestFit="1" customWidth="1"/>
    <col min="28" max="28" width="12.1640625" bestFit="1" customWidth="1"/>
    <col min="29" max="29" width="17" bestFit="1" customWidth="1"/>
  </cols>
  <sheetData>
    <row r="1" spans="1:22" s="4" customFormat="1" x14ac:dyDescent="0.2">
      <c r="A1" s="1" t="s">
        <v>152</v>
      </c>
      <c r="B1"/>
      <c r="C1" s="5"/>
      <c r="D1" s="5"/>
      <c r="E1" s="10"/>
      <c r="F1" s="10"/>
    </row>
    <row r="2" spans="1:22" x14ac:dyDescent="0.2">
      <c r="A2" t="s">
        <v>55</v>
      </c>
      <c r="B2" t="s">
        <v>145</v>
      </c>
      <c r="C2" t="s">
        <v>146</v>
      </c>
      <c r="E2" s="11"/>
      <c r="F2" s="12"/>
      <c r="J2" s="2"/>
      <c r="K2" s="5"/>
      <c r="L2" s="5"/>
      <c r="M2" s="5"/>
      <c r="N2" s="6"/>
      <c r="O2" s="5"/>
      <c r="P2" s="6"/>
      <c r="Q2" s="5"/>
      <c r="R2" s="5"/>
      <c r="S2" s="5"/>
      <c r="T2" s="6"/>
      <c r="U2" s="5"/>
      <c r="V2" s="6"/>
    </row>
    <row r="3" spans="1:22" x14ac:dyDescent="0.2">
      <c r="A3">
        <v>2019</v>
      </c>
      <c r="B3">
        <v>63</v>
      </c>
      <c r="C3" s="36">
        <f>63/305</f>
        <v>0.20655737704918034</v>
      </c>
      <c r="D3" s="58"/>
      <c r="E3" s="12"/>
      <c r="F3" s="12"/>
    </row>
    <row r="4" spans="1:22" x14ac:dyDescent="0.2">
      <c r="A4">
        <v>2020</v>
      </c>
      <c r="B4">
        <v>112</v>
      </c>
      <c r="C4" s="36">
        <f>112/497</f>
        <v>0.22535211267605634</v>
      </c>
      <c r="D4" s="36"/>
    </row>
    <row r="5" spans="1:22" x14ac:dyDescent="0.2">
      <c r="A5" s="7" t="s">
        <v>1</v>
      </c>
      <c r="B5" s="7">
        <f>SUM(B3:B4)</f>
        <v>175</v>
      </c>
      <c r="C5" s="37">
        <f>175/802</f>
        <v>0.21820448877805487</v>
      </c>
      <c r="D5" s="36"/>
    </row>
    <row r="6" spans="1:22" x14ac:dyDescent="0.2">
      <c r="A6" s="7" t="s">
        <v>148</v>
      </c>
      <c r="B6" s="7"/>
      <c r="C6" s="37"/>
      <c r="D6" s="36"/>
    </row>
    <row r="7" spans="1:22" x14ac:dyDescent="0.2">
      <c r="E7" s="57"/>
      <c r="G7" s="57"/>
    </row>
    <row r="8" spans="1:22" x14ac:dyDescent="0.2">
      <c r="A8" s="1" t="s">
        <v>153</v>
      </c>
      <c r="E8" s="57"/>
      <c r="G8" s="57"/>
    </row>
    <row r="9" spans="1:22" x14ac:dyDescent="0.2">
      <c r="A9" t="s">
        <v>55</v>
      </c>
      <c r="B9" t="s">
        <v>147</v>
      </c>
      <c r="C9" t="s">
        <v>146</v>
      </c>
    </row>
    <row r="10" spans="1:22" x14ac:dyDescent="0.2">
      <c r="A10">
        <v>2019</v>
      </c>
      <c r="B10">
        <v>10</v>
      </c>
      <c r="C10" s="36">
        <f>10/42</f>
        <v>0.23809523809523808</v>
      </c>
      <c r="D10" s="36"/>
    </row>
    <row r="11" spans="1:22" x14ac:dyDescent="0.2">
      <c r="A11">
        <v>2020</v>
      </c>
      <c r="B11">
        <v>26</v>
      </c>
      <c r="C11" s="36">
        <f>26/91</f>
        <v>0.2857142857142857</v>
      </c>
      <c r="D11" s="36"/>
    </row>
    <row r="12" spans="1:22" x14ac:dyDescent="0.2">
      <c r="A12" s="7" t="s">
        <v>1</v>
      </c>
      <c r="B12" s="7">
        <f>SUM(B10:B11)</f>
        <v>36</v>
      </c>
      <c r="C12" s="37">
        <f>36/133</f>
        <v>0.27067669172932329</v>
      </c>
      <c r="D12" s="36"/>
    </row>
    <row r="13" spans="1:22" x14ac:dyDescent="0.2">
      <c r="A13" s="7"/>
      <c r="B13" s="7"/>
      <c r="C13" s="37"/>
      <c r="D13" s="36"/>
    </row>
    <row r="15" spans="1:22" x14ac:dyDescent="0.2">
      <c r="A15" s="1" t="s">
        <v>154</v>
      </c>
    </row>
    <row r="16" spans="1:22" x14ac:dyDescent="0.2">
      <c r="A16" t="s">
        <v>55</v>
      </c>
      <c r="B16" t="s">
        <v>147</v>
      </c>
      <c r="C16" t="s">
        <v>146</v>
      </c>
    </row>
    <row r="17" spans="1:6" x14ac:dyDescent="0.2">
      <c r="A17">
        <v>2019</v>
      </c>
      <c r="B17">
        <v>3</v>
      </c>
      <c r="C17" s="36">
        <f>3/274</f>
        <v>1.0948905109489052E-2</v>
      </c>
    </row>
    <row r="18" spans="1:6" x14ac:dyDescent="0.2">
      <c r="A18">
        <v>2020</v>
      </c>
      <c r="B18">
        <v>9</v>
      </c>
      <c r="C18" s="36">
        <f>9/432</f>
        <v>2.0833333333333332E-2</v>
      </c>
    </row>
    <row r="19" spans="1:6" x14ac:dyDescent="0.2">
      <c r="A19" s="7" t="s">
        <v>1</v>
      </c>
      <c r="B19" s="7">
        <f>SUM(B17:B18)</f>
        <v>12</v>
      </c>
      <c r="C19" s="37">
        <f>12/706</f>
        <v>1.69971671388102E-2</v>
      </c>
      <c r="D19" s="36"/>
    </row>
    <row r="20" spans="1:6" x14ac:dyDescent="0.2">
      <c r="A20" s="7" t="s">
        <v>149</v>
      </c>
    </row>
    <row r="22" spans="1:6" x14ac:dyDescent="0.2">
      <c r="A22" s="1" t="s">
        <v>155</v>
      </c>
    </row>
    <row r="23" spans="1:6" x14ac:dyDescent="0.2">
      <c r="A23" t="s">
        <v>55</v>
      </c>
      <c r="B23" t="s">
        <v>147</v>
      </c>
      <c r="C23" t="s">
        <v>146</v>
      </c>
    </row>
    <row r="24" spans="1:6" x14ac:dyDescent="0.2">
      <c r="A24">
        <v>2019</v>
      </c>
      <c r="B24">
        <v>1</v>
      </c>
      <c r="C24" s="36">
        <f>1/41</f>
        <v>2.4390243902439025E-2</v>
      </c>
    </row>
    <row r="25" spans="1:6" x14ac:dyDescent="0.2">
      <c r="A25">
        <v>2020</v>
      </c>
      <c r="B25">
        <v>0</v>
      </c>
      <c r="C25" s="36">
        <v>0</v>
      </c>
    </row>
    <row r="26" spans="1:6" x14ac:dyDescent="0.2">
      <c r="A26" s="7" t="s">
        <v>1</v>
      </c>
      <c r="B26" s="7">
        <f>SUM(B24:B25)</f>
        <v>1</v>
      </c>
      <c r="C26" s="37">
        <f>1/128</f>
        <v>7.8125E-3</v>
      </c>
      <c r="D26" s="36"/>
    </row>
    <row r="27" spans="1:6" x14ac:dyDescent="0.2">
      <c r="A27" s="7" t="s">
        <v>150</v>
      </c>
    </row>
    <row r="30" spans="1:6" x14ac:dyDescent="0.2">
      <c r="A30" s="1" t="s">
        <v>156</v>
      </c>
      <c r="C30" s="5"/>
    </row>
    <row r="31" spans="1:6" x14ac:dyDescent="0.2">
      <c r="A31" t="s">
        <v>55</v>
      </c>
      <c r="B31" t="s">
        <v>145</v>
      </c>
      <c r="C31" t="s">
        <v>146</v>
      </c>
      <c r="E31" s="10"/>
      <c r="F31" s="10"/>
    </row>
    <row r="32" spans="1:6" x14ac:dyDescent="0.2">
      <c r="A32">
        <v>2019</v>
      </c>
      <c r="B32">
        <v>169</v>
      </c>
      <c r="C32" s="36">
        <f>169/308</f>
        <v>0.54870129870129869</v>
      </c>
      <c r="E32" s="9"/>
      <c r="F32" s="11"/>
    </row>
    <row r="33" spans="1:6" x14ac:dyDescent="0.2">
      <c r="A33">
        <v>2020</v>
      </c>
      <c r="B33">
        <v>260</v>
      </c>
      <c r="C33" s="36">
        <f>260/497</f>
        <v>0.52313883299798791</v>
      </c>
      <c r="E33" s="9"/>
      <c r="F33" s="9"/>
    </row>
    <row r="34" spans="1:6" x14ac:dyDescent="0.2">
      <c r="A34" s="7" t="s">
        <v>1</v>
      </c>
      <c r="B34" s="7">
        <f>SUM(B32:B33)</f>
        <v>429</v>
      </c>
      <c r="C34" s="37">
        <f>429/805</f>
        <v>0.53291925465838508</v>
      </c>
      <c r="E34" s="9"/>
      <c r="F34" s="9"/>
    </row>
    <row r="35" spans="1:6" x14ac:dyDescent="0.2">
      <c r="A35" s="7" t="s">
        <v>151</v>
      </c>
      <c r="B35" s="7"/>
      <c r="C35" s="37"/>
    </row>
    <row r="37" spans="1:6" x14ac:dyDescent="0.2">
      <c r="A37" s="1" t="s">
        <v>157</v>
      </c>
    </row>
    <row r="38" spans="1:6" x14ac:dyDescent="0.2">
      <c r="A38" t="s">
        <v>55</v>
      </c>
      <c r="B38" t="s">
        <v>147</v>
      </c>
      <c r="C38" t="s">
        <v>146</v>
      </c>
    </row>
    <row r="39" spans="1:6" x14ac:dyDescent="0.2">
      <c r="A39">
        <v>2019</v>
      </c>
      <c r="B39">
        <v>27</v>
      </c>
      <c r="C39" s="36">
        <f>27/42</f>
        <v>0.6428571428571429</v>
      </c>
    </row>
    <row r="40" spans="1:6" x14ac:dyDescent="0.2">
      <c r="A40">
        <v>2020</v>
      </c>
      <c r="B40">
        <v>67</v>
      </c>
      <c r="C40" s="36">
        <f>67/91</f>
        <v>0.73626373626373631</v>
      </c>
    </row>
    <row r="41" spans="1:6" x14ac:dyDescent="0.2">
      <c r="A41" s="7" t="s">
        <v>1</v>
      </c>
      <c r="B41" s="7">
        <f>SUM(B39:B40)</f>
        <v>94</v>
      </c>
      <c r="C41" s="37">
        <f>94/133</f>
        <v>0.70676691729323304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A9E6-C8CA-604A-8BBB-581001B06F17}">
  <dimension ref="A1:G24"/>
  <sheetViews>
    <sheetView workbookViewId="0">
      <selection activeCell="E29" sqref="E29"/>
    </sheetView>
  </sheetViews>
  <sheetFormatPr baseColWidth="10" defaultColWidth="11.5" defaultRowHeight="15" x14ac:dyDescent="0.2"/>
  <cols>
    <col min="2" max="2" width="11.5" customWidth="1"/>
    <col min="3" max="3" width="15.5" customWidth="1"/>
    <col min="4" max="4" width="18.5" customWidth="1"/>
    <col min="5" max="5" width="19.33203125" customWidth="1"/>
    <col min="6" max="6" width="36.6640625" customWidth="1"/>
    <col min="7" max="7" width="16.1640625" customWidth="1"/>
  </cols>
  <sheetData>
    <row r="1" spans="1:7" x14ac:dyDescent="0.2">
      <c r="A1" s="1" t="s">
        <v>97</v>
      </c>
    </row>
    <row r="2" spans="1:7" x14ac:dyDescent="0.2">
      <c r="A2" s="42" t="s">
        <v>55</v>
      </c>
      <c r="B2" s="43" t="s">
        <v>90</v>
      </c>
      <c r="C2" s="43" t="s">
        <v>91</v>
      </c>
      <c r="D2" s="43" t="s">
        <v>92</v>
      </c>
      <c r="E2" s="43" t="s">
        <v>93</v>
      </c>
      <c r="F2" s="43" t="s">
        <v>94</v>
      </c>
      <c r="G2" s="44" t="s">
        <v>95</v>
      </c>
    </row>
    <row r="3" spans="1:7" x14ac:dyDescent="0.2">
      <c r="A3">
        <v>2019</v>
      </c>
      <c r="B3">
        <v>147</v>
      </c>
      <c r="C3">
        <v>17</v>
      </c>
      <c r="D3">
        <v>4</v>
      </c>
      <c r="E3">
        <v>23</v>
      </c>
      <c r="F3">
        <v>49</v>
      </c>
      <c r="G3">
        <v>7</v>
      </c>
    </row>
    <row r="4" spans="1:7" x14ac:dyDescent="0.2">
      <c r="A4">
        <v>2020</v>
      </c>
      <c r="B4">
        <v>243</v>
      </c>
      <c r="C4">
        <v>33</v>
      </c>
      <c r="D4">
        <v>9</v>
      </c>
      <c r="E4">
        <v>67</v>
      </c>
      <c r="F4">
        <v>63</v>
      </c>
      <c r="G4">
        <v>5</v>
      </c>
    </row>
    <row r="7" spans="1:7" x14ac:dyDescent="0.2">
      <c r="A7" s="1" t="s">
        <v>96</v>
      </c>
    </row>
    <row r="8" spans="1:7" x14ac:dyDescent="0.2">
      <c r="A8" s="42" t="s">
        <v>55</v>
      </c>
      <c r="B8" s="43" t="s">
        <v>90</v>
      </c>
      <c r="C8" s="43" t="s">
        <v>91</v>
      </c>
      <c r="D8" s="43" t="s">
        <v>92</v>
      </c>
      <c r="E8" s="43" t="s">
        <v>93</v>
      </c>
      <c r="F8" s="43" t="s">
        <v>94</v>
      </c>
      <c r="G8" s="44" t="s">
        <v>95</v>
      </c>
    </row>
    <row r="9" spans="1:7" x14ac:dyDescent="0.2">
      <c r="A9">
        <v>2019</v>
      </c>
      <c r="B9" s="36">
        <f>147/311</f>
        <v>0.47266881028938906</v>
      </c>
      <c r="C9" s="36">
        <f>17/311</f>
        <v>5.4662379421221867E-2</v>
      </c>
      <c r="D9" s="36">
        <f>4/311</f>
        <v>1.2861736334405145E-2</v>
      </c>
      <c r="E9" s="36">
        <f>23/311</f>
        <v>7.3954983922829579E-2</v>
      </c>
      <c r="F9" s="36">
        <f>49/311</f>
        <v>0.15755627009646303</v>
      </c>
      <c r="G9" s="36">
        <f>7/311</f>
        <v>2.2508038585209004E-2</v>
      </c>
    </row>
    <row r="10" spans="1:7" x14ac:dyDescent="0.2">
      <c r="A10">
        <v>2020</v>
      </c>
      <c r="B10" s="36">
        <f>243/497</f>
        <v>0.48893360160965793</v>
      </c>
      <c r="C10" s="36">
        <f>33/497</f>
        <v>6.6398390342052319E-2</v>
      </c>
      <c r="D10" s="36">
        <f>9/497</f>
        <v>1.8108651911468814E-2</v>
      </c>
      <c r="E10" s="36">
        <f>67/497</f>
        <v>0.13480885311871227</v>
      </c>
      <c r="F10" s="36">
        <f>63/497</f>
        <v>0.12676056338028169</v>
      </c>
      <c r="G10" s="36">
        <f>5/497</f>
        <v>1.0060362173038229E-2</v>
      </c>
    </row>
    <row r="13" spans="1:7" x14ac:dyDescent="0.2">
      <c r="A13" s="1" t="s">
        <v>98</v>
      </c>
    </row>
    <row r="14" spans="1:7" x14ac:dyDescent="0.2">
      <c r="A14" s="42" t="s">
        <v>55</v>
      </c>
      <c r="B14" s="43" t="s">
        <v>90</v>
      </c>
      <c r="C14" s="43" t="s">
        <v>91</v>
      </c>
      <c r="D14" s="43" t="s">
        <v>92</v>
      </c>
      <c r="E14" s="43" t="s">
        <v>93</v>
      </c>
      <c r="F14" s="43" t="s">
        <v>94</v>
      </c>
      <c r="G14" s="44" t="s">
        <v>95</v>
      </c>
    </row>
    <row r="15" spans="1:7" x14ac:dyDescent="0.2">
      <c r="A15">
        <v>2019</v>
      </c>
      <c r="B15">
        <v>28</v>
      </c>
      <c r="C15">
        <v>3</v>
      </c>
      <c r="D15" s="45">
        <v>0</v>
      </c>
      <c r="E15">
        <v>4</v>
      </c>
      <c r="F15">
        <v>7</v>
      </c>
      <c r="G15">
        <v>2</v>
      </c>
    </row>
    <row r="16" spans="1:7" x14ac:dyDescent="0.2">
      <c r="A16">
        <v>2020</v>
      </c>
      <c r="B16">
        <v>63</v>
      </c>
      <c r="C16">
        <v>8</v>
      </c>
      <c r="D16">
        <v>1</v>
      </c>
      <c r="E16">
        <v>18</v>
      </c>
      <c r="F16">
        <v>18</v>
      </c>
      <c r="G16">
        <v>0</v>
      </c>
    </row>
    <row r="19" spans="1:7" x14ac:dyDescent="0.2">
      <c r="A19" s="1" t="s">
        <v>99</v>
      </c>
    </row>
    <row r="20" spans="1:7" x14ac:dyDescent="0.2">
      <c r="A20" s="42" t="s">
        <v>55</v>
      </c>
      <c r="B20" s="43" t="s">
        <v>90</v>
      </c>
      <c r="C20" s="43" t="s">
        <v>91</v>
      </c>
      <c r="D20" s="43" t="s">
        <v>92</v>
      </c>
      <c r="E20" s="43" t="s">
        <v>93</v>
      </c>
      <c r="F20" s="43" t="s">
        <v>94</v>
      </c>
      <c r="G20" s="44" t="s">
        <v>95</v>
      </c>
    </row>
    <row r="21" spans="1:7" x14ac:dyDescent="0.2">
      <c r="A21">
        <v>2019</v>
      </c>
      <c r="B21" s="36">
        <f>28/42</f>
        <v>0.66666666666666663</v>
      </c>
      <c r="C21" s="36">
        <f>3/42</f>
        <v>7.1428571428571425E-2</v>
      </c>
      <c r="D21" s="36">
        <f>0/42</f>
        <v>0</v>
      </c>
      <c r="E21" s="36">
        <f>4/42</f>
        <v>9.5238095238095233E-2</v>
      </c>
      <c r="F21" s="36">
        <f>7/42</f>
        <v>0.16666666666666666</v>
      </c>
      <c r="G21" s="36">
        <f>2/42</f>
        <v>4.7619047619047616E-2</v>
      </c>
    </row>
    <row r="22" spans="1:7" x14ac:dyDescent="0.2">
      <c r="A22">
        <v>2020</v>
      </c>
      <c r="B22" s="36">
        <f>63/92</f>
        <v>0.68478260869565222</v>
      </c>
      <c r="C22" s="36">
        <f>8/92</f>
        <v>8.6956521739130432E-2</v>
      </c>
      <c r="D22" s="36">
        <f>1/92</f>
        <v>1.0869565217391304E-2</v>
      </c>
      <c r="E22" s="36">
        <f>18/92</f>
        <v>0.19565217391304349</v>
      </c>
      <c r="F22" s="36">
        <f>18/92</f>
        <v>0.19565217391304349</v>
      </c>
      <c r="G22" s="36">
        <f>0/92</f>
        <v>0</v>
      </c>
    </row>
    <row r="24" spans="1:7" x14ac:dyDescent="0.2">
      <c r="A24" s="7" t="s">
        <v>158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C491-7934-419A-A37E-FD4D89C88A71}">
  <dimension ref="A1:J25"/>
  <sheetViews>
    <sheetView workbookViewId="0">
      <selection activeCell="I19" sqref="I19"/>
    </sheetView>
  </sheetViews>
  <sheetFormatPr baseColWidth="10" defaultColWidth="8.6640625" defaultRowHeight="15" x14ac:dyDescent="0.2"/>
  <cols>
    <col min="1" max="1" width="11.6640625" customWidth="1"/>
    <col min="6" max="6" width="11.5" customWidth="1"/>
    <col min="7" max="7" width="10" customWidth="1"/>
    <col min="8" max="8" width="10.5" customWidth="1"/>
    <col min="9" max="9" width="10.33203125" customWidth="1"/>
  </cols>
  <sheetData>
    <row r="1" spans="1:10" x14ac:dyDescent="0.2">
      <c r="A1" s="1" t="s">
        <v>168</v>
      </c>
      <c r="F1" s="1" t="s">
        <v>172</v>
      </c>
    </row>
    <row r="2" spans="1:10" x14ac:dyDescent="0.2">
      <c r="A2" s="1" t="s">
        <v>169</v>
      </c>
      <c r="B2" s="1" t="s">
        <v>65</v>
      </c>
      <c r="C2" s="1" t="s">
        <v>75</v>
      </c>
      <c r="D2" s="1" t="s">
        <v>1</v>
      </c>
      <c r="F2" s="1" t="s">
        <v>169</v>
      </c>
      <c r="G2" s="1" t="s">
        <v>65</v>
      </c>
      <c r="H2" s="1" t="s">
        <v>75</v>
      </c>
      <c r="I2" s="1" t="s">
        <v>177</v>
      </c>
      <c r="J2" s="1" t="s">
        <v>188</v>
      </c>
    </row>
    <row r="3" spans="1:10" x14ac:dyDescent="0.2">
      <c r="A3" t="s">
        <v>160</v>
      </c>
      <c r="B3">
        <v>2</v>
      </c>
      <c r="C3">
        <v>3</v>
      </c>
      <c r="D3">
        <f>SUM(Table40[[#This Row],[2019]:[2020]])</f>
        <v>5</v>
      </c>
      <c r="F3" t="s">
        <v>160</v>
      </c>
      <c r="G3" s="36">
        <f>2/311</f>
        <v>6.4308681672025723E-3</v>
      </c>
      <c r="H3" s="36">
        <f t="shared" ref="H3" si="0">3/497</f>
        <v>6.0362173038229373E-3</v>
      </c>
      <c r="I3" s="36">
        <f>5/808</f>
        <v>6.1881188118811884E-3</v>
      </c>
      <c r="J3" s="36">
        <f>1/133</f>
        <v>7.5187969924812026E-3</v>
      </c>
    </row>
    <row r="4" spans="1:10" x14ac:dyDescent="0.2">
      <c r="A4" t="s">
        <v>161</v>
      </c>
      <c r="B4">
        <v>30</v>
      </c>
      <c r="C4">
        <v>72</v>
      </c>
      <c r="D4">
        <f>SUM(Table40[[#This Row],[2019]:[2020]])</f>
        <v>102</v>
      </c>
      <c r="F4" t="s">
        <v>161</v>
      </c>
      <c r="G4" s="36">
        <f>30/311</f>
        <v>9.6463022508038579E-2</v>
      </c>
      <c r="H4" s="36">
        <f>72/497</f>
        <v>0.14486921529175051</v>
      </c>
      <c r="I4" s="36">
        <f>102/808</f>
        <v>0.12623762376237624</v>
      </c>
      <c r="J4" s="36">
        <f>15/133</f>
        <v>0.11278195488721804</v>
      </c>
    </row>
    <row r="5" spans="1:10" x14ac:dyDescent="0.2">
      <c r="A5" t="s">
        <v>162</v>
      </c>
      <c r="B5">
        <v>61</v>
      </c>
      <c r="C5">
        <v>105</v>
      </c>
      <c r="D5">
        <f>SUM(Table40[[#This Row],[2019]:[2020]])</f>
        <v>166</v>
      </c>
      <c r="F5" t="s">
        <v>162</v>
      </c>
      <c r="G5" s="36">
        <f>61/311</f>
        <v>0.19614147909967847</v>
      </c>
      <c r="H5" s="36">
        <f>105/497</f>
        <v>0.21126760563380281</v>
      </c>
      <c r="I5" s="36">
        <f>166/808</f>
        <v>0.20544554455445543</v>
      </c>
      <c r="J5" s="36">
        <f>23/133</f>
        <v>0.17293233082706766</v>
      </c>
    </row>
    <row r="6" spans="1:10" x14ac:dyDescent="0.2">
      <c r="A6" t="s">
        <v>163</v>
      </c>
      <c r="B6">
        <v>57</v>
      </c>
      <c r="C6">
        <v>93</v>
      </c>
      <c r="D6">
        <f>SUM(Table40[[#This Row],[2019]:[2020]])</f>
        <v>150</v>
      </c>
      <c r="F6" t="s">
        <v>163</v>
      </c>
      <c r="G6" s="36">
        <f>57/311</f>
        <v>0.18327974276527331</v>
      </c>
      <c r="H6" s="36">
        <f>93/497</f>
        <v>0.18712273641851107</v>
      </c>
      <c r="I6" s="36">
        <f>150/808</f>
        <v>0.18564356435643564</v>
      </c>
      <c r="J6" s="36">
        <f>34/133</f>
        <v>0.25563909774436089</v>
      </c>
    </row>
    <row r="7" spans="1:10" x14ac:dyDescent="0.2">
      <c r="A7" t="s">
        <v>164</v>
      </c>
      <c r="B7">
        <v>52</v>
      </c>
      <c r="C7">
        <v>83</v>
      </c>
      <c r="D7">
        <f>SUM(Table40[[#This Row],[2019]:[2020]])</f>
        <v>135</v>
      </c>
      <c r="F7" t="s">
        <v>164</v>
      </c>
      <c r="G7" s="36">
        <f>52/311</f>
        <v>0.16720257234726688</v>
      </c>
      <c r="H7" s="36">
        <f>83/497</f>
        <v>0.16700201207243462</v>
      </c>
      <c r="I7" s="36">
        <f>135/808</f>
        <v>0.16707920792079209</v>
      </c>
      <c r="J7" s="36">
        <f>30/133</f>
        <v>0.22556390977443608</v>
      </c>
    </row>
    <row r="8" spans="1:10" x14ac:dyDescent="0.2">
      <c r="A8" t="s">
        <v>165</v>
      </c>
      <c r="B8">
        <v>37</v>
      </c>
      <c r="C8">
        <v>51</v>
      </c>
      <c r="D8">
        <f>SUM(Table40[[#This Row],[2019]:[2020]])</f>
        <v>88</v>
      </c>
      <c r="F8" t="s">
        <v>165</v>
      </c>
      <c r="G8" s="36">
        <f>37/311</f>
        <v>0.11897106109324759</v>
      </c>
      <c r="H8" s="36">
        <f>51/497</f>
        <v>0.10261569416498995</v>
      </c>
      <c r="I8" s="36">
        <f>88/808</f>
        <v>0.10891089108910891</v>
      </c>
      <c r="J8" s="36">
        <f>16/133</f>
        <v>0.12030075187969924</v>
      </c>
    </row>
    <row r="9" spans="1:10" x14ac:dyDescent="0.2">
      <c r="A9" t="s">
        <v>166</v>
      </c>
      <c r="B9">
        <v>14</v>
      </c>
      <c r="C9">
        <v>18</v>
      </c>
      <c r="D9">
        <f>SUM(Table40[[#This Row],[2019]:[2020]])</f>
        <v>32</v>
      </c>
      <c r="F9" t="s">
        <v>166</v>
      </c>
      <c r="G9" s="36">
        <f>14/311</f>
        <v>4.5016077170418008E-2</v>
      </c>
      <c r="H9" s="36">
        <f>18/497</f>
        <v>3.6217303822937627E-2</v>
      </c>
      <c r="I9" s="36">
        <f>32/808</f>
        <v>3.9603960396039604E-2</v>
      </c>
      <c r="J9" s="36">
        <f>6/133</f>
        <v>4.5112781954887216E-2</v>
      </c>
    </row>
    <row r="10" spans="1:10" x14ac:dyDescent="0.2">
      <c r="A10" t="s">
        <v>167</v>
      </c>
      <c r="B10">
        <v>3</v>
      </c>
      <c r="C10">
        <v>4</v>
      </c>
      <c r="D10">
        <f>SUM(Table40[[#This Row],[2019]:[2020]])</f>
        <v>7</v>
      </c>
      <c r="F10" t="s">
        <v>167</v>
      </c>
      <c r="G10" s="36">
        <f>3/311</f>
        <v>9.6463022508038593E-3</v>
      </c>
      <c r="H10" s="36">
        <f>4/497</f>
        <v>8.0482897384305842E-3</v>
      </c>
      <c r="I10" s="36">
        <f>7/808</f>
        <v>8.6633663366336641E-3</v>
      </c>
      <c r="J10" s="36">
        <f>0/133</f>
        <v>0</v>
      </c>
    </row>
    <row r="11" spans="1:10" x14ac:dyDescent="0.2">
      <c r="A11" s="57" t="s">
        <v>159</v>
      </c>
      <c r="B11" s="57">
        <v>55</v>
      </c>
      <c r="C11" s="57">
        <v>68</v>
      </c>
      <c r="D11" s="57">
        <f>SUM(Table40[[#This Row],[2019]:[2020]])</f>
        <v>123</v>
      </c>
      <c r="F11" s="57" t="s">
        <v>159</v>
      </c>
      <c r="G11" s="36">
        <f>55/311</f>
        <v>0.17684887459807075</v>
      </c>
      <c r="H11" s="36">
        <f>68/497</f>
        <v>0.13682092555331993</v>
      </c>
      <c r="I11" s="36">
        <f>123/808</f>
        <v>0.15222772277227722</v>
      </c>
      <c r="J11" s="36">
        <f>8/133</f>
        <v>6.0150375939849621E-2</v>
      </c>
    </row>
    <row r="12" spans="1:10" x14ac:dyDescent="0.2">
      <c r="A12" s="7" t="s">
        <v>1</v>
      </c>
      <c r="B12" s="7">
        <f>SUM(B3:B11)</f>
        <v>311</v>
      </c>
      <c r="C12" s="7">
        <f>SUM(C3:C11)</f>
        <v>497</v>
      </c>
      <c r="D12" s="7">
        <f>SUM(Table40[[#This Row],[2019]:[2020]])</f>
        <v>808</v>
      </c>
      <c r="F12" s="7" t="s">
        <v>1</v>
      </c>
      <c r="G12" s="37">
        <f>SUM(G3:G11)</f>
        <v>1</v>
      </c>
      <c r="H12" s="37">
        <f>SUM(H3:H11)</f>
        <v>1</v>
      </c>
      <c r="I12" s="37">
        <f>SUM(I3:I11)</f>
        <v>1</v>
      </c>
    </row>
    <row r="14" spans="1:10" x14ac:dyDescent="0.2">
      <c r="A14" s="1" t="s">
        <v>170</v>
      </c>
      <c r="F14" s="1" t="s">
        <v>171</v>
      </c>
    </row>
    <row r="15" spans="1:10" x14ac:dyDescent="0.2">
      <c r="A15" s="1" t="s">
        <v>169</v>
      </c>
      <c r="B15" s="1" t="s">
        <v>65</v>
      </c>
      <c r="C15" s="1" t="s">
        <v>75</v>
      </c>
      <c r="D15" s="1" t="s">
        <v>1</v>
      </c>
      <c r="F15" s="1" t="s">
        <v>169</v>
      </c>
      <c r="G15" s="1" t="s">
        <v>65</v>
      </c>
      <c r="H15" s="1" t="s">
        <v>75</v>
      </c>
      <c r="I15" s="1" t="s">
        <v>188</v>
      </c>
    </row>
    <row r="16" spans="1:10" x14ac:dyDescent="0.2">
      <c r="A16" t="s">
        <v>160</v>
      </c>
      <c r="B16">
        <v>0</v>
      </c>
      <c r="C16">
        <v>1</v>
      </c>
      <c r="D16">
        <f>SUM(Table42[[#This Row],[2019]:[2020]])</f>
        <v>1</v>
      </c>
      <c r="F16" t="s">
        <v>160</v>
      </c>
      <c r="G16" s="36">
        <f>0/42</f>
        <v>0</v>
      </c>
      <c r="H16" s="36">
        <f>1/91</f>
        <v>1.098901098901099E-2</v>
      </c>
      <c r="I16" s="36">
        <f>1/133</f>
        <v>7.5187969924812026E-3</v>
      </c>
    </row>
    <row r="17" spans="1:9" x14ac:dyDescent="0.2">
      <c r="A17" t="s">
        <v>161</v>
      </c>
      <c r="B17">
        <v>4</v>
      </c>
      <c r="C17">
        <v>11</v>
      </c>
      <c r="D17">
        <f>SUM(Table42[[#This Row],[2019]:[2020]])</f>
        <v>15</v>
      </c>
      <c r="F17" t="s">
        <v>161</v>
      </c>
      <c r="G17" s="36">
        <f>4/42</f>
        <v>9.5238095238095233E-2</v>
      </c>
      <c r="H17" s="36">
        <f>11/91</f>
        <v>0.12087912087912088</v>
      </c>
      <c r="I17" s="36">
        <f>15/133</f>
        <v>0.11278195488721804</v>
      </c>
    </row>
    <row r="18" spans="1:9" x14ac:dyDescent="0.2">
      <c r="A18" t="s">
        <v>162</v>
      </c>
      <c r="B18">
        <v>4</v>
      </c>
      <c r="C18">
        <v>19</v>
      </c>
      <c r="D18">
        <f>SUM(Table42[[#This Row],[2019]:[2020]])</f>
        <v>23</v>
      </c>
      <c r="F18" t="s">
        <v>162</v>
      </c>
      <c r="G18" s="36">
        <f>4/42</f>
        <v>9.5238095238095233E-2</v>
      </c>
      <c r="H18" s="36">
        <f>19/91</f>
        <v>0.2087912087912088</v>
      </c>
      <c r="I18" s="36">
        <f>23/133</f>
        <v>0.17293233082706766</v>
      </c>
    </row>
    <row r="19" spans="1:9" x14ac:dyDescent="0.2">
      <c r="A19" t="s">
        <v>163</v>
      </c>
      <c r="B19">
        <v>10</v>
      </c>
      <c r="C19">
        <v>24</v>
      </c>
      <c r="D19">
        <f>SUM(Table42[[#This Row],[2019]:[2020]])</f>
        <v>34</v>
      </c>
      <c r="F19" t="s">
        <v>163</v>
      </c>
      <c r="G19" s="36">
        <f>10/42</f>
        <v>0.23809523809523808</v>
      </c>
      <c r="H19" s="36">
        <f>24/91</f>
        <v>0.26373626373626374</v>
      </c>
      <c r="I19" s="36">
        <f>34/133</f>
        <v>0.25563909774436089</v>
      </c>
    </row>
    <row r="20" spans="1:9" x14ac:dyDescent="0.2">
      <c r="A20" t="s">
        <v>164</v>
      </c>
      <c r="B20">
        <v>11</v>
      </c>
      <c r="C20">
        <v>19</v>
      </c>
      <c r="D20">
        <f>SUM(Table42[[#This Row],[2019]:[2020]])</f>
        <v>30</v>
      </c>
      <c r="F20" t="s">
        <v>164</v>
      </c>
      <c r="G20" s="36">
        <f>11/42</f>
        <v>0.26190476190476192</v>
      </c>
      <c r="H20" s="36">
        <f>19/91</f>
        <v>0.2087912087912088</v>
      </c>
      <c r="I20" s="36">
        <f>30/133</f>
        <v>0.22556390977443608</v>
      </c>
    </row>
    <row r="21" spans="1:9" x14ac:dyDescent="0.2">
      <c r="A21" t="s">
        <v>165</v>
      </c>
      <c r="B21">
        <v>6</v>
      </c>
      <c r="C21">
        <v>10</v>
      </c>
      <c r="D21">
        <f>SUM(Table42[[#This Row],[2019]:[2020]])</f>
        <v>16</v>
      </c>
      <c r="F21" t="s">
        <v>165</v>
      </c>
      <c r="G21" s="36">
        <f>6/42</f>
        <v>0.14285714285714285</v>
      </c>
      <c r="H21" s="36">
        <f>10/91</f>
        <v>0.10989010989010989</v>
      </c>
      <c r="I21" s="36">
        <f>16/133</f>
        <v>0.12030075187969924</v>
      </c>
    </row>
    <row r="22" spans="1:9" x14ac:dyDescent="0.2">
      <c r="A22" t="s">
        <v>166</v>
      </c>
      <c r="B22">
        <v>3</v>
      </c>
      <c r="C22">
        <v>3</v>
      </c>
      <c r="D22">
        <f>SUM(Table42[[#This Row],[2019]:[2020]])</f>
        <v>6</v>
      </c>
      <c r="F22" t="s">
        <v>166</v>
      </c>
      <c r="G22" s="36">
        <f>3/42</f>
        <v>7.1428571428571425E-2</v>
      </c>
      <c r="H22" s="36">
        <f>3/91</f>
        <v>3.2967032967032968E-2</v>
      </c>
      <c r="I22" s="36">
        <f>6/133</f>
        <v>4.5112781954887216E-2</v>
      </c>
    </row>
    <row r="23" spans="1:9" x14ac:dyDescent="0.2">
      <c r="A23" t="s">
        <v>167</v>
      </c>
      <c r="B23">
        <v>0</v>
      </c>
      <c r="C23">
        <v>0</v>
      </c>
      <c r="D23">
        <f>SUM(Table42[[#This Row],[2019]:[2020]])</f>
        <v>0</v>
      </c>
      <c r="F23" t="s">
        <v>167</v>
      </c>
      <c r="G23" s="36">
        <f t="shared" ref="G23" si="1">0/42</f>
        <v>0</v>
      </c>
      <c r="H23" s="36">
        <f>0/91</f>
        <v>0</v>
      </c>
      <c r="I23" s="36">
        <f>0/133</f>
        <v>0</v>
      </c>
    </row>
    <row r="24" spans="1:9" x14ac:dyDescent="0.2">
      <c r="A24" s="57" t="s">
        <v>159</v>
      </c>
      <c r="B24" s="57">
        <v>4</v>
      </c>
      <c r="C24" s="57">
        <v>4</v>
      </c>
      <c r="D24">
        <f>SUM(Table42[[#This Row],[2019]:[2020]])</f>
        <v>8</v>
      </c>
      <c r="F24" s="57" t="s">
        <v>159</v>
      </c>
      <c r="G24" s="36">
        <f>4/42</f>
        <v>9.5238095238095233E-2</v>
      </c>
      <c r="H24" s="36">
        <f>4/91</f>
        <v>4.3956043956043959E-2</v>
      </c>
      <c r="I24" s="36">
        <f>8/133</f>
        <v>6.0150375939849621E-2</v>
      </c>
    </row>
    <row r="25" spans="1:9" x14ac:dyDescent="0.2">
      <c r="A25" s="7" t="s">
        <v>1</v>
      </c>
      <c r="B25" s="7">
        <f>SUM(B16:B24)</f>
        <v>42</v>
      </c>
      <c r="C25" s="7">
        <f t="shared" ref="C25:D25" si="2">SUM(C16:C24)</f>
        <v>91</v>
      </c>
      <c r="D25" s="7">
        <f t="shared" si="2"/>
        <v>133</v>
      </c>
      <c r="F25" s="7" t="s">
        <v>1</v>
      </c>
      <c r="G25" s="37">
        <f>SUM(G16:G24)</f>
        <v>0.99999999999999989</v>
      </c>
      <c r="H25" s="37">
        <f>SUM(H16:H24)</f>
        <v>1</v>
      </c>
      <c r="I25" s="37">
        <f>SUM(I16:I24)</f>
        <v>1</v>
      </c>
    </row>
  </sheetData>
  <pageMargins left="0.7" right="0.7" top="0.75" bottom="0.75" header="0.3" footer="0.3"/>
  <pageSetup paperSize="9" orientation="portrait" horizontalDpi="300" verticalDpi="0" r:id="rId1"/>
  <tableParts count="4"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A5E2-6022-1842-A7AA-8BD7ABD6E6C4}">
  <dimension ref="A1:I13"/>
  <sheetViews>
    <sheetView workbookViewId="0">
      <selection activeCell="I21" sqref="I21"/>
    </sheetView>
  </sheetViews>
  <sheetFormatPr baseColWidth="10" defaultColWidth="11.5" defaultRowHeight="15" x14ac:dyDescent="0.2"/>
  <sheetData>
    <row r="1" spans="1:9" x14ac:dyDescent="0.2">
      <c r="A1" s="1" t="s">
        <v>195</v>
      </c>
      <c r="F1" s="1" t="s">
        <v>191</v>
      </c>
    </row>
    <row r="2" spans="1:9" x14ac:dyDescent="0.2">
      <c r="A2" s="62" t="s">
        <v>116</v>
      </c>
      <c r="B2" s="62" t="s">
        <v>65</v>
      </c>
      <c r="C2" s="60" t="s">
        <v>75</v>
      </c>
      <c r="D2" s="61" t="s">
        <v>1</v>
      </c>
      <c r="F2" s="59" t="s">
        <v>116</v>
      </c>
      <c r="G2" s="60" t="s">
        <v>65</v>
      </c>
      <c r="H2" s="60" t="s">
        <v>75</v>
      </c>
      <c r="I2" s="61" t="s">
        <v>1</v>
      </c>
    </row>
    <row r="3" spans="1:9" x14ac:dyDescent="0.2">
      <c r="A3" s="63" t="s">
        <v>192</v>
      </c>
      <c r="B3" s="65">
        <v>30</v>
      </c>
      <c r="C3" s="65">
        <v>74</v>
      </c>
      <c r="D3" s="66">
        <f>SUM(B3:C3)</f>
        <v>104</v>
      </c>
      <c r="F3" s="63" t="s">
        <v>192</v>
      </c>
      <c r="G3" s="65">
        <v>245</v>
      </c>
      <c r="H3" s="65">
        <v>397</v>
      </c>
      <c r="I3" s="66">
        <f>SUM(G3:H3)</f>
        <v>642</v>
      </c>
    </row>
    <row r="4" spans="1:9" x14ac:dyDescent="0.2">
      <c r="A4" s="63" t="s">
        <v>193</v>
      </c>
      <c r="B4" s="63">
        <v>11</v>
      </c>
      <c r="C4" s="63">
        <v>16</v>
      </c>
      <c r="D4" s="66">
        <f t="shared" ref="D4:D6" si="0">SUM(B4:C4)</f>
        <v>27</v>
      </c>
      <c r="F4" s="63" t="s">
        <v>193</v>
      </c>
      <c r="G4" s="63">
        <v>50</v>
      </c>
      <c r="H4" s="63">
        <v>82</v>
      </c>
      <c r="I4" s="66">
        <f t="shared" ref="I4:I6" si="1">SUM(G4:H4)</f>
        <v>132</v>
      </c>
    </row>
    <row r="5" spans="1:9" x14ac:dyDescent="0.2">
      <c r="A5" s="63" t="s">
        <v>159</v>
      </c>
      <c r="B5" s="63">
        <v>1</v>
      </c>
      <c r="C5" s="65">
        <v>1</v>
      </c>
      <c r="D5" s="66">
        <f t="shared" si="0"/>
        <v>2</v>
      </c>
      <c r="F5" s="63" t="s">
        <v>159</v>
      </c>
      <c r="G5" s="63">
        <v>16</v>
      </c>
      <c r="H5" s="65">
        <v>18</v>
      </c>
      <c r="I5" s="66">
        <f t="shared" si="1"/>
        <v>34</v>
      </c>
    </row>
    <row r="6" spans="1:9" x14ac:dyDescent="0.2">
      <c r="A6" s="64" t="s">
        <v>1</v>
      </c>
      <c r="B6" s="68">
        <f>SUM(B3:B5)</f>
        <v>42</v>
      </c>
      <c r="C6" s="68">
        <f t="shared" ref="C6" si="2">SUM(C3:C5)</f>
        <v>91</v>
      </c>
      <c r="D6" s="73">
        <f t="shared" si="0"/>
        <v>133</v>
      </c>
      <c r="F6" s="64" t="s">
        <v>1</v>
      </c>
      <c r="G6" s="68">
        <f>SUM(G3:G5)</f>
        <v>311</v>
      </c>
      <c r="H6" s="68">
        <f t="shared" ref="H6" si="3">SUM(H3:H5)</f>
        <v>497</v>
      </c>
      <c r="I6" s="66">
        <f t="shared" si="1"/>
        <v>808</v>
      </c>
    </row>
    <row r="8" spans="1:9" x14ac:dyDescent="0.2">
      <c r="A8" s="1" t="s">
        <v>196</v>
      </c>
      <c r="F8" s="1" t="s">
        <v>194</v>
      </c>
    </row>
    <row r="9" spans="1:9" x14ac:dyDescent="0.2">
      <c r="A9" s="59" t="s">
        <v>116</v>
      </c>
      <c r="B9" s="60" t="s">
        <v>65</v>
      </c>
      <c r="C9" s="60" t="s">
        <v>75</v>
      </c>
      <c r="D9" s="61" t="s">
        <v>1</v>
      </c>
      <c r="F9" s="59" t="s">
        <v>116</v>
      </c>
      <c r="G9" s="60" t="s">
        <v>65</v>
      </c>
      <c r="H9" s="60" t="s">
        <v>75</v>
      </c>
      <c r="I9" s="61" t="s">
        <v>1</v>
      </c>
    </row>
    <row r="10" spans="1:9" x14ac:dyDescent="0.2">
      <c r="A10" s="63" t="s">
        <v>192</v>
      </c>
      <c r="B10" s="69">
        <f>30/42</f>
        <v>0.7142857142857143</v>
      </c>
      <c r="C10" s="69">
        <f>74/91</f>
        <v>0.81318681318681318</v>
      </c>
      <c r="D10" s="70">
        <f>104/133</f>
        <v>0.78195488721804507</v>
      </c>
      <c r="F10" s="63" t="s">
        <v>192</v>
      </c>
      <c r="G10" s="69">
        <f>245/311</f>
        <v>0.78778135048231512</v>
      </c>
      <c r="H10" s="69">
        <f>397/497</f>
        <v>0.79879275653923543</v>
      </c>
      <c r="I10" s="70">
        <f>642/808</f>
        <v>0.79455445544554459</v>
      </c>
    </row>
    <row r="11" spans="1:9" x14ac:dyDescent="0.2">
      <c r="A11" s="63" t="s">
        <v>193</v>
      </c>
      <c r="B11" s="71">
        <f>11/4226%</f>
        <v>0.26029342167534314</v>
      </c>
      <c r="C11" s="71">
        <f>16/91</f>
        <v>0.17582417582417584</v>
      </c>
      <c r="D11" s="72">
        <f>27/133</f>
        <v>0.20300751879699247</v>
      </c>
      <c r="F11" s="63" t="s">
        <v>193</v>
      </c>
      <c r="G11" s="71">
        <f>50/311</f>
        <v>0.16077170418006431</v>
      </c>
      <c r="H11" s="71">
        <f>82/497</f>
        <v>0.16498993963782696</v>
      </c>
      <c r="I11" s="72">
        <f>132/808</f>
        <v>0.16336633663366337</v>
      </c>
    </row>
    <row r="12" spans="1:9" x14ac:dyDescent="0.2">
      <c r="A12" s="63" t="s">
        <v>159</v>
      </c>
      <c r="B12" s="71">
        <f>1/42</f>
        <v>2.3809523809523808E-2</v>
      </c>
      <c r="C12" s="69">
        <f>1/91</f>
        <v>1.098901098901099E-2</v>
      </c>
      <c r="D12" s="72">
        <f>2/133</f>
        <v>1.5037593984962405E-2</v>
      </c>
      <c r="F12" s="63" t="s">
        <v>159</v>
      </c>
      <c r="G12" s="71">
        <f>16/311</f>
        <v>5.1446945337620578E-2</v>
      </c>
      <c r="H12" s="69">
        <f>18/497</f>
        <v>3.6217303822937627E-2</v>
      </c>
      <c r="I12" s="72">
        <f>34/808</f>
        <v>4.2079207920792082E-2</v>
      </c>
    </row>
    <row r="13" spans="1:9" x14ac:dyDescent="0.2">
      <c r="A13" s="64" t="s">
        <v>1</v>
      </c>
      <c r="B13" s="67">
        <f>SUM(B10:B12)</f>
        <v>0.99838865977058122</v>
      </c>
      <c r="C13" s="67">
        <f>SUM(C10:C12)</f>
        <v>1</v>
      </c>
      <c r="D13" s="67">
        <f>SUM(D10:D12)</f>
        <v>0.99999999999999989</v>
      </c>
      <c r="F13" s="64" t="s">
        <v>1</v>
      </c>
      <c r="G13" s="67">
        <f>SUM(G10:G12)</f>
        <v>1</v>
      </c>
      <c r="H13" s="67">
        <f>SUM(H10:H12)</f>
        <v>1</v>
      </c>
      <c r="I13" s="67">
        <f>SUM(I10:I12)</f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597C-4CC3-284F-BD79-28431693A71E}">
  <dimension ref="A1:D20"/>
  <sheetViews>
    <sheetView workbookViewId="0">
      <selection activeCell="A21" sqref="A21"/>
    </sheetView>
  </sheetViews>
  <sheetFormatPr baseColWidth="10" defaultColWidth="11.5" defaultRowHeight="15" x14ac:dyDescent="0.2"/>
  <sheetData>
    <row r="1" spans="1:4" x14ac:dyDescent="0.2">
      <c r="A1" s="1" t="s">
        <v>130</v>
      </c>
    </row>
    <row r="2" spans="1:4" x14ac:dyDescent="0.2">
      <c r="A2" s="42" t="s">
        <v>55</v>
      </c>
      <c r="B2" s="43" t="s">
        <v>128</v>
      </c>
      <c r="C2" s="43" t="s">
        <v>129</v>
      </c>
      <c r="D2" s="43" t="s">
        <v>1</v>
      </c>
    </row>
    <row r="3" spans="1:4" x14ac:dyDescent="0.2">
      <c r="A3">
        <v>2020</v>
      </c>
      <c r="B3">
        <v>147</v>
      </c>
      <c r="C3">
        <v>227</v>
      </c>
      <c r="D3">
        <f>SUM(B3:C3)</f>
        <v>374</v>
      </c>
    </row>
    <row r="6" spans="1:4" x14ac:dyDescent="0.2">
      <c r="A6" s="1" t="s">
        <v>131</v>
      </c>
    </row>
    <row r="7" spans="1:4" x14ac:dyDescent="0.2">
      <c r="A7" s="42" t="s">
        <v>55</v>
      </c>
      <c r="B7" s="43" t="s">
        <v>128</v>
      </c>
      <c r="C7" s="43" t="s">
        <v>129</v>
      </c>
      <c r="D7" s="43" t="s">
        <v>1</v>
      </c>
    </row>
    <row r="8" spans="1:4" x14ac:dyDescent="0.2">
      <c r="A8">
        <v>2020</v>
      </c>
      <c r="B8" s="36">
        <f>147/374</f>
        <v>0.39304812834224601</v>
      </c>
      <c r="C8" s="36">
        <f>227/374</f>
        <v>0.60695187165775399</v>
      </c>
      <c r="D8" s="36">
        <f>SUM(B8:C8)</f>
        <v>1</v>
      </c>
    </row>
    <row r="11" spans="1:4" x14ac:dyDescent="0.2">
      <c r="A11" s="1" t="s">
        <v>132</v>
      </c>
    </row>
    <row r="12" spans="1:4" x14ac:dyDescent="0.2">
      <c r="A12" s="42" t="s">
        <v>55</v>
      </c>
      <c r="B12" s="43" t="s">
        <v>128</v>
      </c>
      <c r="C12" s="43" t="s">
        <v>129</v>
      </c>
      <c r="D12" s="43" t="s">
        <v>1</v>
      </c>
    </row>
    <row r="13" spans="1:4" x14ac:dyDescent="0.2">
      <c r="A13">
        <v>2020</v>
      </c>
      <c r="B13">
        <v>30</v>
      </c>
      <c r="C13">
        <v>32</v>
      </c>
      <c r="D13">
        <f>SUM(B13:C13)</f>
        <v>62</v>
      </c>
    </row>
    <row r="16" spans="1:4" x14ac:dyDescent="0.2">
      <c r="A16" s="1" t="s">
        <v>133</v>
      </c>
    </row>
    <row r="17" spans="1:4" x14ac:dyDescent="0.2">
      <c r="A17" s="42" t="s">
        <v>55</v>
      </c>
      <c r="B17" s="43" t="s">
        <v>128</v>
      </c>
      <c r="C17" s="43" t="s">
        <v>129</v>
      </c>
      <c r="D17" s="43" t="s">
        <v>1</v>
      </c>
    </row>
    <row r="18" spans="1:4" x14ac:dyDescent="0.2">
      <c r="A18">
        <v>2020</v>
      </c>
      <c r="B18" s="36">
        <f>30/62</f>
        <v>0.4838709677419355</v>
      </c>
      <c r="C18" s="36">
        <f>32/62</f>
        <v>0.5161290322580645</v>
      </c>
      <c r="D18" s="36">
        <f>SUM(B18:C18)</f>
        <v>1</v>
      </c>
    </row>
    <row r="20" spans="1:4" x14ac:dyDescent="0.2">
      <c r="A20" s="7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749C-2E53-49FA-8D20-076A98993329}">
  <dimension ref="A1:B23"/>
  <sheetViews>
    <sheetView workbookViewId="0">
      <selection activeCell="B21" sqref="B21"/>
    </sheetView>
  </sheetViews>
  <sheetFormatPr baseColWidth="10" defaultColWidth="8.6640625" defaultRowHeight="15" x14ac:dyDescent="0.2"/>
  <cols>
    <col min="1" max="1" width="20.1640625" customWidth="1"/>
    <col min="2" max="2" width="19.6640625" customWidth="1"/>
  </cols>
  <sheetData>
    <row r="1" spans="1:2" x14ac:dyDescent="0.2">
      <c r="A1" s="1" t="s">
        <v>0</v>
      </c>
    </row>
    <row r="2" spans="1:2" x14ac:dyDescent="0.2">
      <c r="A2" s="1" t="s">
        <v>55</v>
      </c>
      <c r="B2" s="1" t="s">
        <v>6</v>
      </c>
    </row>
    <row r="3" spans="1:2" x14ac:dyDescent="0.2">
      <c r="A3">
        <v>2019</v>
      </c>
      <c r="B3">
        <v>497</v>
      </c>
    </row>
    <row r="4" spans="1:2" x14ac:dyDescent="0.2">
      <c r="A4">
        <v>2020</v>
      </c>
      <c r="B4">
        <v>678</v>
      </c>
    </row>
    <row r="5" spans="1:2" x14ac:dyDescent="0.2">
      <c r="A5" s="7" t="s">
        <v>1</v>
      </c>
      <c r="B5" s="7">
        <f>SUM(B3:B4)</f>
        <v>1175</v>
      </c>
    </row>
    <row r="7" spans="1:2" x14ac:dyDescent="0.2">
      <c r="A7" s="1" t="s">
        <v>2</v>
      </c>
    </row>
    <row r="8" spans="1:2" x14ac:dyDescent="0.2">
      <c r="A8" s="1" t="s">
        <v>55</v>
      </c>
      <c r="B8" s="1" t="s">
        <v>6</v>
      </c>
    </row>
    <row r="9" spans="1:2" x14ac:dyDescent="0.2">
      <c r="A9">
        <v>2019</v>
      </c>
      <c r="B9">
        <v>311</v>
      </c>
    </row>
    <row r="10" spans="1:2" x14ac:dyDescent="0.2">
      <c r="A10">
        <v>2020</v>
      </c>
      <c r="B10">
        <v>497</v>
      </c>
    </row>
    <row r="11" spans="1:2" x14ac:dyDescent="0.2">
      <c r="A11" s="7" t="s">
        <v>1</v>
      </c>
      <c r="B11" s="7">
        <f>SUM(B9:B10)</f>
        <v>808</v>
      </c>
    </row>
    <row r="13" spans="1:2" x14ac:dyDescent="0.2">
      <c r="A13" s="1" t="s">
        <v>3</v>
      </c>
    </row>
    <row r="14" spans="1:2" x14ac:dyDescent="0.2">
      <c r="A14" s="1" t="s">
        <v>55</v>
      </c>
      <c r="B14" s="1" t="s">
        <v>6</v>
      </c>
    </row>
    <row r="15" spans="1:2" x14ac:dyDescent="0.2">
      <c r="A15">
        <v>2019</v>
      </c>
      <c r="B15">
        <v>42</v>
      </c>
    </row>
    <row r="16" spans="1:2" x14ac:dyDescent="0.2">
      <c r="A16">
        <v>2020</v>
      </c>
      <c r="B16">
        <v>91</v>
      </c>
    </row>
    <row r="17" spans="1:2" x14ac:dyDescent="0.2">
      <c r="A17" s="7" t="s">
        <v>1</v>
      </c>
      <c r="B17" s="7">
        <v>133</v>
      </c>
    </row>
    <row r="19" spans="1:2" x14ac:dyDescent="0.2">
      <c r="A19" s="1" t="s">
        <v>4</v>
      </c>
    </row>
    <row r="20" spans="1:2" x14ac:dyDescent="0.2">
      <c r="A20" s="1" t="s">
        <v>55</v>
      </c>
      <c r="B20" s="1" t="s">
        <v>142</v>
      </c>
    </row>
    <row r="21" spans="1:2" x14ac:dyDescent="0.2">
      <c r="A21">
        <v>2019</v>
      </c>
      <c r="B21" s="2">
        <f>B15/311</f>
        <v>0.13504823151125403</v>
      </c>
    </row>
    <row r="22" spans="1:2" x14ac:dyDescent="0.2">
      <c r="A22">
        <v>2020</v>
      </c>
      <c r="B22" s="2">
        <f>B16/497</f>
        <v>0.18309859154929578</v>
      </c>
    </row>
    <row r="23" spans="1:2" x14ac:dyDescent="0.2">
      <c r="A23" s="7" t="s">
        <v>1</v>
      </c>
      <c r="B23" s="8">
        <f>B17/808</f>
        <v>0.16460396039603961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33D2E-F0DF-4D83-BA41-FC7791D00007}">
  <dimension ref="A1:X20"/>
  <sheetViews>
    <sheetView workbookViewId="0">
      <pane xSplit="1" topLeftCell="N1" activePane="topRight" state="frozen"/>
      <selection pane="topRight" activeCell="A21" sqref="A21"/>
    </sheetView>
  </sheetViews>
  <sheetFormatPr baseColWidth="10" defaultColWidth="8.6640625" defaultRowHeight="15" x14ac:dyDescent="0.2"/>
  <cols>
    <col min="1" max="1" width="9.6640625" style="83" customWidth="1"/>
    <col min="2" max="2" width="11.5" style="83" customWidth="1"/>
    <col min="3" max="3" width="13.5" style="83" customWidth="1"/>
    <col min="4" max="4" width="15.5" style="83" customWidth="1"/>
    <col min="5" max="5" width="11" style="102" customWidth="1"/>
    <col min="6" max="6" width="12.6640625" style="83" customWidth="1"/>
    <col min="7" max="7" width="16.5" style="83" customWidth="1"/>
    <col min="8" max="8" width="15.1640625" style="83" customWidth="1"/>
    <col min="9" max="9" width="18.1640625" style="83" customWidth="1"/>
    <col min="10" max="10" width="16.5" style="83" customWidth="1"/>
    <col min="11" max="12" width="13.5" style="83" customWidth="1"/>
    <col min="13" max="13" width="16.1640625" style="83" customWidth="1"/>
    <col min="14" max="14" width="19.33203125" style="83" customWidth="1"/>
    <col min="15" max="15" width="15.6640625" style="83" customWidth="1"/>
    <col min="16" max="16" width="16.6640625" style="83" customWidth="1"/>
    <col min="17" max="17" width="20.6640625" style="83" customWidth="1"/>
    <col min="18" max="18" width="20.1640625" style="83" customWidth="1"/>
    <col min="19" max="19" width="17.5" style="83" customWidth="1"/>
    <col min="20" max="20" width="15.5" style="83" customWidth="1"/>
    <col min="21" max="22" width="14.5" style="83" customWidth="1"/>
    <col min="23" max="23" width="13.6640625" style="83" customWidth="1"/>
    <col min="24" max="24" width="16.5" style="83" customWidth="1"/>
    <col min="25" max="16384" width="8.6640625" style="83"/>
  </cols>
  <sheetData>
    <row r="1" spans="1:24" ht="55.5" customHeight="1" x14ac:dyDescent="0.2">
      <c r="A1" s="79" t="s">
        <v>44</v>
      </c>
      <c r="B1" s="79" t="s">
        <v>177</v>
      </c>
      <c r="C1" s="79" t="s">
        <v>178</v>
      </c>
      <c r="D1" s="80" t="s">
        <v>179</v>
      </c>
      <c r="E1" s="81" t="s">
        <v>45</v>
      </c>
      <c r="F1" s="80" t="s">
        <v>180</v>
      </c>
      <c r="G1" s="79" t="s">
        <v>52</v>
      </c>
      <c r="H1" s="79" t="s">
        <v>51</v>
      </c>
      <c r="I1" s="79" t="s">
        <v>143</v>
      </c>
      <c r="J1" s="79" t="s">
        <v>144</v>
      </c>
      <c r="K1" s="79" t="s">
        <v>47</v>
      </c>
      <c r="L1" s="79" t="s">
        <v>53</v>
      </c>
      <c r="M1" s="79" t="s">
        <v>46</v>
      </c>
      <c r="N1" s="79" t="s">
        <v>175</v>
      </c>
      <c r="O1" s="79" t="s">
        <v>48</v>
      </c>
      <c r="P1" s="79" t="s">
        <v>176</v>
      </c>
      <c r="Q1" s="79" t="s">
        <v>174</v>
      </c>
      <c r="R1" s="79" t="s">
        <v>190</v>
      </c>
      <c r="S1" s="79" t="s">
        <v>189</v>
      </c>
      <c r="T1" s="79" t="s">
        <v>173</v>
      </c>
      <c r="U1" s="82" t="s">
        <v>49</v>
      </c>
      <c r="V1" s="79" t="s">
        <v>50</v>
      </c>
      <c r="W1" s="79" t="s">
        <v>181</v>
      </c>
      <c r="X1" s="79" t="s">
        <v>182</v>
      </c>
    </row>
    <row r="2" spans="1:24" x14ac:dyDescent="0.2">
      <c r="A2" s="84">
        <v>43647</v>
      </c>
      <c r="B2" s="85">
        <v>62</v>
      </c>
      <c r="C2" s="85">
        <v>6</v>
      </c>
      <c r="D2" s="86">
        <f>C2/B2</f>
        <v>9.6774193548387094E-2</v>
      </c>
      <c r="E2" s="87">
        <v>0</v>
      </c>
      <c r="F2" s="86">
        <f>Table22[[#This Row],[Cases with Gas issue]]/Table22[[#This Row],[Total calls]]</f>
        <v>0</v>
      </c>
      <c r="G2" s="88">
        <v>0</v>
      </c>
      <c r="H2" s="88">
        <v>0</v>
      </c>
      <c r="I2" s="88">
        <v>0</v>
      </c>
      <c r="J2" s="89">
        <v>1</v>
      </c>
      <c r="K2" s="88">
        <v>0</v>
      </c>
      <c r="L2" s="88">
        <v>0</v>
      </c>
      <c r="M2" s="89">
        <v>1</v>
      </c>
      <c r="N2" s="90">
        <v>1000</v>
      </c>
      <c r="O2" s="90">
        <v>1000</v>
      </c>
      <c r="P2" s="90">
        <v>1000</v>
      </c>
      <c r="Q2" s="91">
        <f>AVERAGE(1100,2100,500)</f>
        <v>1233.3333333333333</v>
      </c>
      <c r="R2" s="91">
        <v>2100</v>
      </c>
      <c r="S2" s="91">
        <v>500</v>
      </c>
      <c r="T2" s="90">
        <v>0</v>
      </c>
      <c r="U2" s="90">
        <v>0</v>
      </c>
      <c r="V2" s="90">
        <v>0</v>
      </c>
      <c r="W2" s="92">
        <v>4</v>
      </c>
      <c r="X2" s="93">
        <v>0.66</v>
      </c>
    </row>
    <row r="3" spans="1:24" x14ac:dyDescent="0.2">
      <c r="A3" s="84">
        <v>43678</v>
      </c>
      <c r="B3" s="85">
        <v>57</v>
      </c>
      <c r="C3" s="85">
        <v>7</v>
      </c>
      <c r="D3" s="86">
        <f t="shared" ref="D3:D19" si="0">C3/B3</f>
        <v>0.12280701754385964</v>
      </c>
      <c r="E3" s="89">
        <v>4</v>
      </c>
      <c r="F3" s="86">
        <f>Table22[[#This Row],[Cases with Gas issue]]/Table22[[#This Row],[Total calls]]</f>
        <v>7.0175438596491224E-2</v>
      </c>
      <c r="G3" s="88">
        <v>0</v>
      </c>
      <c r="H3" s="85">
        <v>1</v>
      </c>
      <c r="I3" s="85">
        <v>1</v>
      </c>
      <c r="J3" s="88">
        <v>0</v>
      </c>
      <c r="K3" s="85">
        <v>1</v>
      </c>
      <c r="L3" s="85">
        <v>1</v>
      </c>
      <c r="M3" s="94">
        <v>1</v>
      </c>
      <c r="N3" s="90">
        <v>2900</v>
      </c>
      <c r="O3" s="90">
        <v>2900</v>
      </c>
      <c r="P3" s="90">
        <v>2900</v>
      </c>
      <c r="Q3" s="91">
        <f>AVERAGE(3000,250)</f>
        <v>1625</v>
      </c>
      <c r="R3" s="91">
        <v>3000</v>
      </c>
      <c r="S3" s="91">
        <v>250</v>
      </c>
      <c r="T3" s="91">
        <f>AVERAGE(1700,750)</f>
        <v>1225</v>
      </c>
      <c r="U3" s="91">
        <v>1700</v>
      </c>
      <c r="V3" s="91">
        <v>750</v>
      </c>
      <c r="W3" s="92">
        <v>6</v>
      </c>
      <c r="X3" s="93">
        <v>0.86</v>
      </c>
    </row>
    <row r="4" spans="1:24" x14ac:dyDescent="0.2">
      <c r="A4" s="84">
        <v>43709</v>
      </c>
      <c r="B4" s="85">
        <v>32</v>
      </c>
      <c r="C4" s="85">
        <v>6</v>
      </c>
      <c r="D4" s="86">
        <f t="shared" si="0"/>
        <v>0.1875</v>
      </c>
      <c r="E4" s="89">
        <v>2</v>
      </c>
      <c r="F4" s="86">
        <f>Table22[[#This Row],[Cases with Gas issue]]/Table22[[#This Row],[Total calls]]</f>
        <v>6.25E-2</v>
      </c>
      <c r="G4" s="88">
        <v>0</v>
      </c>
      <c r="H4" s="88">
        <v>0</v>
      </c>
      <c r="I4" s="85">
        <v>1</v>
      </c>
      <c r="J4" s="88">
        <v>0</v>
      </c>
      <c r="K4" s="88">
        <v>0</v>
      </c>
      <c r="L4" s="88">
        <v>0</v>
      </c>
      <c r="M4" s="87">
        <v>0</v>
      </c>
      <c r="N4" s="90">
        <f>AVERAGE(280,1500,400)</f>
        <v>726.66666666666663</v>
      </c>
      <c r="O4" s="90">
        <v>1500</v>
      </c>
      <c r="P4" s="90">
        <v>280</v>
      </c>
      <c r="Q4" s="91">
        <f>AVERAGE(400,1300,250)</f>
        <v>650</v>
      </c>
      <c r="R4" s="91">
        <v>1300</v>
      </c>
      <c r="S4" s="91">
        <v>250</v>
      </c>
      <c r="T4" s="91">
        <f>AVERAGE(400,250,750,200)</f>
        <v>400</v>
      </c>
      <c r="U4" s="91">
        <v>750</v>
      </c>
      <c r="V4" s="91">
        <v>200</v>
      </c>
      <c r="W4" s="92">
        <v>5</v>
      </c>
      <c r="X4" s="93">
        <v>0.83</v>
      </c>
    </row>
    <row r="5" spans="1:24" x14ac:dyDescent="0.2">
      <c r="A5" s="84">
        <v>43739</v>
      </c>
      <c r="B5" s="85">
        <v>43</v>
      </c>
      <c r="C5" s="85">
        <v>4</v>
      </c>
      <c r="D5" s="86">
        <f t="shared" si="0"/>
        <v>9.3023255813953487E-2</v>
      </c>
      <c r="E5" s="89">
        <v>1</v>
      </c>
      <c r="F5" s="86">
        <f>Table22[[#This Row],[Cases with Gas issue]]/Table22[[#This Row],[Total calls]]</f>
        <v>2.3255813953488372E-2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7">
        <v>0</v>
      </c>
      <c r="N5" s="90">
        <v>0</v>
      </c>
      <c r="O5" s="90">
        <v>0</v>
      </c>
      <c r="P5" s="90">
        <v>0</v>
      </c>
      <c r="Q5" s="91">
        <f>AVERAGE(400,800,1600)</f>
        <v>933.33333333333337</v>
      </c>
      <c r="R5" s="91">
        <v>1600</v>
      </c>
      <c r="S5" s="91">
        <v>400</v>
      </c>
      <c r="T5" s="91">
        <v>800</v>
      </c>
      <c r="U5" s="91">
        <v>800</v>
      </c>
      <c r="V5" s="91">
        <v>800</v>
      </c>
      <c r="W5" s="92">
        <v>2</v>
      </c>
      <c r="X5" s="93">
        <v>0.5</v>
      </c>
    </row>
    <row r="6" spans="1:24" x14ac:dyDescent="0.2">
      <c r="A6" s="84">
        <v>43770</v>
      </c>
      <c r="B6" s="85">
        <v>67</v>
      </c>
      <c r="C6" s="85">
        <v>11</v>
      </c>
      <c r="D6" s="86">
        <f t="shared" si="0"/>
        <v>0.16417910447761194</v>
      </c>
      <c r="E6" s="89">
        <v>5</v>
      </c>
      <c r="F6" s="86">
        <f>Table22[[#This Row],[Cases with Gas issue]]/Table22[[#This Row],[Total calls]]</f>
        <v>7.4626865671641784E-2</v>
      </c>
      <c r="G6" s="85">
        <v>1</v>
      </c>
      <c r="H6" s="88">
        <v>0</v>
      </c>
      <c r="I6" s="85">
        <v>2</v>
      </c>
      <c r="J6" s="88">
        <v>0</v>
      </c>
      <c r="K6" s="85">
        <v>4</v>
      </c>
      <c r="L6" s="85">
        <v>2</v>
      </c>
      <c r="M6" s="87">
        <v>0</v>
      </c>
      <c r="N6" s="90">
        <v>0</v>
      </c>
      <c r="O6" s="90">
        <v>0</v>
      </c>
      <c r="P6" s="90">
        <v>0</v>
      </c>
      <c r="Q6" s="91">
        <f>AVERAGE(400,1400,1737,5000,2000,759,6000,300,1200)</f>
        <v>2088.4444444444443</v>
      </c>
      <c r="R6" s="91">
        <v>6000</v>
      </c>
      <c r="S6" s="91">
        <v>300</v>
      </c>
      <c r="T6" s="91">
        <f>AVERAGE(400,3000,500,900)</f>
        <v>1200</v>
      </c>
      <c r="U6" s="91">
        <v>3000</v>
      </c>
      <c r="V6" s="91">
        <v>400</v>
      </c>
      <c r="W6" s="92">
        <v>6</v>
      </c>
      <c r="X6" s="93">
        <v>0.55000000000000004</v>
      </c>
    </row>
    <row r="7" spans="1:24" x14ac:dyDescent="0.2">
      <c r="A7" s="84">
        <v>43800</v>
      </c>
      <c r="B7" s="85">
        <v>50</v>
      </c>
      <c r="C7" s="85">
        <v>8</v>
      </c>
      <c r="D7" s="86">
        <f t="shared" si="0"/>
        <v>0.16</v>
      </c>
      <c r="E7" s="89">
        <v>3</v>
      </c>
      <c r="F7" s="86">
        <f>Table22[[#This Row],[Cases with Gas issue]]/Table22[[#This Row],[Total calls]]</f>
        <v>0.06</v>
      </c>
      <c r="G7" s="88">
        <v>0</v>
      </c>
      <c r="H7" s="88">
        <v>0</v>
      </c>
      <c r="I7" s="85">
        <v>1</v>
      </c>
      <c r="J7" s="88">
        <v>0</v>
      </c>
      <c r="K7" s="85">
        <v>1</v>
      </c>
      <c r="L7" s="85">
        <v>1</v>
      </c>
      <c r="M7" s="87">
        <v>0</v>
      </c>
      <c r="N7" s="90">
        <f>AVERAGE(500,490,900)</f>
        <v>630</v>
      </c>
      <c r="O7" s="90">
        <v>900</v>
      </c>
      <c r="P7" s="90">
        <v>490</v>
      </c>
      <c r="Q7" s="91">
        <f>AVERAGE(371,2000,3000,1200,800,300)</f>
        <v>1278.5</v>
      </c>
      <c r="R7" s="91">
        <v>3000</v>
      </c>
      <c r="S7" s="91">
        <v>300</v>
      </c>
      <c r="T7" s="91">
        <v>2500</v>
      </c>
      <c r="U7" s="91">
        <v>3000</v>
      </c>
      <c r="V7" s="91">
        <v>2000</v>
      </c>
      <c r="W7" s="92">
        <v>5</v>
      </c>
      <c r="X7" s="93">
        <v>0.62</v>
      </c>
    </row>
    <row r="8" spans="1:24" x14ac:dyDescent="0.2">
      <c r="A8" s="84">
        <v>43831</v>
      </c>
      <c r="B8" s="85">
        <v>53</v>
      </c>
      <c r="C8" s="85">
        <v>13</v>
      </c>
      <c r="D8" s="86">
        <f>C8/B8</f>
        <v>0.24528301886792453</v>
      </c>
      <c r="E8" s="89">
        <v>7</v>
      </c>
      <c r="F8" s="86">
        <f>Table22[[#This Row],[Cases with Gas issue]]/Table22[[#This Row],[Total calls]]</f>
        <v>0.13207547169811321</v>
      </c>
      <c r="G8" s="88">
        <v>0</v>
      </c>
      <c r="H8" s="85">
        <v>1</v>
      </c>
      <c r="I8" s="85">
        <v>4</v>
      </c>
      <c r="J8" s="89">
        <v>2</v>
      </c>
      <c r="K8" s="85">
        <v>1</v>
      </c>
      <c r="L8" s="85">
        <v>1</v>
      </c>
      <c r="M8" s="87">
        <v>0</v>
      </c>
      <c r="N8" s="90">
        <v>500</v>
      </c>
      <c r="O8" s="90">
        <v>500</v>
      </c>
      <c r="P8" s="90">
        <v>500</v>
      </c>
      <c r="Q8" s="91">
        <f>AVERAGE(1000,200,500,1700,200,2800,1000,99,300,807)</f>
        <v>860.6</v>
      </c>
      <c r="R8" s="91">
        <v>2800</v>
      </c>
      <c r="S8" s="91">
        <v>99</v>
      </c>
      <c r="T8" s="91">
        <f>AVERAGE(1000,500,1400,800,40,700)</f>
        <v>740</v>
      </c>
      <c r="U8" s="91">
        <v>1400</v>
      </c>
      <c r="V8" s="91">
        <v>40</v>
      </c>
      <c r="W8" s="92">
        <v>11</v>
      </c>
      <c r="X8" s="93">
        <v>0.85</v>
      </c>
    </row>
    <row r="9" spans="1:24" x14ac:dyDescent="0.2">
      <c r="A9" s="84">
        <v>43862</v>
      </c>
      <c r="B9" s="85">
        <v>70</v>
      </c>
      <c r="C9" s="85">
        <v>16</v>
      </c>
      <c r="D9" s="86">
        <f t="shared" si="0"/>
        <v>0.22857142857142856</v>
      </c>
      <c r="E9" s="89">
        <v>10</v>
      </c>
      <c r="F9" s="86">
        <f>Table22[[#This Row],[Cases with Gas issue]]/Table22[[#This Row],[Total calls]]</f>
        <v>0.14285714285714285</v>
      </c>
      <c r="G9" s="85">
        <v>1</v>
      </c>
      <c r="H9" s="85">
        <v>2</v>
      </c>
      <c r="I9" s="85">
        <v>2</v>
      </c>
      <c r="J9" s="89">
        <v>4</v>
      </c>
      <c r="K9" s="85">
        <v>2</v>
      </c>
      <c r="L9" s="85">
        <v>5</v>
      </c>
      <c r="M9" s="89">
        <v>4</v>
      </c>
      <c r="N9" s="90">
        <v>0</v>
      </c>
      <c r="O9" s="90">
        <v>0</v>
      </c>
      <c r="P9" s="90">
        <v>0</v>
      </c>
      <c r="Q9" s="91">
        <f>AVERAGE(1228,11000,3000,500,2500,1200,100,1200,500,2500,2000,1000,1600,10808,345)</f>
        <v>2632.0666666666666</v>
      </c>
      <c r="R9" s="91">
        <v>11000</v>
      </c>
      <c r="S9" s="91">
        <v>100</v>
      </c>
      <c r="T9" s="91">
        <f>AVERAGE(1339,2000,2000,750,2500,2700,1442,500,1000,14155)</f>
        <v>2838.6</v>
      </c>
      <c r="U9" s="91">
        <v>14155</v>
      </c>
      <c r="V9" s="91">
        <v>500</v>
      </c>
      <c r="W9" s="92">
        <v>12</v>
      </c>
      <c r="X9" s="93">
        <v>0.75</v>
      </c>
    </row>
    <row r="10" spans="1:24" x14ac:dyDescent="0.2">
      <c r="A10" s="84">
        <v>43891</v>
      </c>
      <c r="B10" s="85">
        <v>55</v>
      </c>
      <c r="C10" s="85">
        <v>3</v>
      </c>
      <c r="D10" s="86">
        <f t="shared" si="0"/>
        <v>5.4545454545454543E-2</v>
      </c>
      <c r="E10" s="89">
        <v>1</v>
      </c>
      <c r="F10" s="86">
        <f>Table22[[#This Row],[Cases with Gas issue]]/Table22[[#This Row],[Total calls]]</f>
        <v>1.8181818181818181E-2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5">
        <v>1</v>
      </c>
      <c r="M10" s="89">
        <v>1</v>
      </c>
      <c r="N10" s="90">
        <v>0</v>
      </c>
      <c r="O10" s="90">
        <v>0</v>
      </c>
      <c r="P10" s="90">
        <v>0</v>
      </c>
      <c r="Q10" s="91">
        <f>AVERAGE(5000,83)</f>
        <v>2541.5</v>
      </c>
      <c r="R10" s="91">
        <v>5000</v>
      </c>
      <c r="S10" s="91">
        <v>83</v>
      </c>
      <c r="T10" s="91">
        <v>129</v>
      </c>
      <c r="U10" s="91">
        <v>129</v>
      </c>
      <c r="V10" s="91">
        <v>129</v>
      </c>
      <c r="W10" s="92">
        <v>1</v>
      </c>
      <c r="X10" s="93">
        <v>0.33</v>
      </c>
    </row>
    <row r="11" spans="1:24" x14ac:dyDescent="0.2">
      <c r="A11" s="84">
        <v>43922</v>
      </c>
      <c r="B11" s="85">
        <v>37</v>
      </c>
      <c r="C11" s="85">
        <v>4</v>
      </c>
      <c r="D11" s="86">
        <f t="shared" si="0"/>
        <v>0.10810810810810811</v>
      </c>
      <c r="E11" s="89">
        <v>2</v>
      </c>
      <c r="F11" s="86">
        <f>Table22[[#This Row],[Cases with Gas issue]]/Table22[[#This Row],[Total calls]]</f>
        <v>5.4054054054054057E-2</v>
      </c>
      <c r="G11" s="88">
        <v>0</v>
      </c>
      <c r="H11" s="88">
        <v>0</v>
      </c>
      <c r="I11" s="85">
        <v>1</v>
      </c>
      <c r="J11" s="89">
        <v>1</v>
      </c>
      <c r="K11" s="85">
        <v>1</v>
      </c>
      <c r="L11" s="88">
        <v>0</v>
      </c>
      <c r="M11" s="87">
        <v>0</v>
      </c>
      <c r="N11" s="90">
        <v>0</v>
      </c>
      <c r="O11" s="90">
        <v>0</v>
      </c>
      <c r="P11" s="90">
        <v>0</v>
      </c>
      <c r="Q11" s="91">
        <v>686</v>
      </c>
      <c r="R11" s="91">
        <v>686</v>
      </c>
      <c r="S11" s="91">
        <v>686</v>
      </c>
      <c r="T11" s="91">
        <f>AVERAGE(384,435)</f>
        <v>409.5</v>
      </c>
      <c r="U11" s="91">
        <v>435</v>
      </c>
      <c r="V11" s="91">
        <v>384</v>
      </c>
      <c r="W11" s="92">
        <v>2</v>
      </c>
      <c r="X11" s="93">
        <v>0.5</v>
      </c>
    </row>
    <row r="12" spans="1:24" x14ac:dyDescent="0.2">
      <c r="A12" s="84">
        <v>43952</v>
      </c>
      <c r="B12" s="85">
        <v>44</v>
      </c>
      <c r="C12" s="85">
        <v>4</v>
      </c>
      <c r="D12" s="86">
        <f t="shared" si="0"/>
        <v>9.0909090909090912E-2</v>
      </c>
      <c r="E12" s="87">
        <v>0</v>
      </c>
      <c r="F12" s="86">
        <f>Table22[[#This Row],[Cases with Gas issue]]/Table22[[#This Row],[Total calls]]</f>
        <v>0</v>
      </c>
      <c r="G12" s="88">
        <v>0</v>
      </c>
      <c r="H12" s="88">
        <v>0</v>
      </c>
      <c r="I12" s="88">
        <v>0</v>
      </c>
      <c r="J12" s="89">
        <v>1</v>
      </c>
      <c r="K12" s="85">
        <v>1</v>
      </c>
      <c r="L12" s="88">
        <v>0</v>
      </c>
      <c r="M12" s="87">
        <v>0</v>
      </c>
      <c r="N12" s="90">
        <v>0</v>
      </c>
      <c r="O12" s="90">
        <v>0</v>
      </c>
      <c r="P12" s="90">
        <v>0</v>
      </c>
      <c r="Q12" s="91">
        <f>AVERAGE(800,299,700)</f>
        <v>599.66666666666663</v>
      </c>
      <c r="R12" s="91">
        <v>800</v>
      </c>
      <c r="S12" s="91">
        <v>299</v>
      </c>
      <c r="T12" s="90">
        <v>0</v>
      </c>
      <c r="U12" s="90">
        <v>0</v>
      </c>
      <c r="V12" s="90">
        <v>0</v>
      </c>
      <c r="W12" s="92">
        <v>1</v>
      </c>
      <c r="X12" s="93">
        <v>0.25</v>
      </c>
    </row>
    <row r="13" spans="1:24" x14ac:dyDescent="0.2">
      <c r="A13" s="84">
        <v>43983</v>
      </c>
      <c r="B13" s="85">
        <v>26</v>
      </c>
      <c r="C13" s="85">
        <v>4</v>
      </c>
      <c r="D13" s="86">
        <f t="shared" si="0"/>
        <v>0.15384615384615385</v>
      </c>
      <c r="E13" s="89">
        <v>1</v>
      </c>
      <c r="F13" s="86">
        <f>Table22[[#This Row],[Cases with Gas issue]]/Table22[[#This Row],[Total calls]]</f>
        <v>3.8461538461538464E-2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7">
        <v>0</v>
      </c>
      <c r="N13" s="90">
        <v>0</v>
      </c>
      <c r="O13" s="90">
        <v>0</v>
      </c>
      <c r="P13" s="90">
        <v>0</v>
      </c>
      <c r="Q13" s="91">
        <v>300</v>
      </c>
      <c r="R13" s="91">
        <v>300</v>
      </c>
      <c r="S13" s="91">
        <v>300</v>
      </c>
      <c r="T13" s="91">
        <v>100</v>
      </c>
      <c r="U13" s="91">
        <v>100</v>
      </c>
      <c r="V13" s="91">
        <v>100</v>
      </c>
      <c r="W13" s="92">
        <v>2</v>
      </c>
      <c r="X13" s="93">
        <v>0.5</v>
      </c>
    </row>
    <row r="14" spans="1:24" x14ac:dyDescent="0.2">
      <c r="A14" s="84">
        <v>44013</v>
      </c>
      <c r="B14" s="85">
        <v>27</v>
      </c>
      <c r="C14" s="85">
        <v>6</v>
      </c>
      <c r="D14" s="86">
        <f>C14/B14</f>
        <v>0.22222222222222221</v>
      </c>
      <c r="E14" s="87">
        <v>0</v>
      </c>
      <c r="F14" s="86">
        <f>Table22[[#This Row],[Cases with Gas issue]]/Table22[[#This Row],[Total calls]]</f>
        <v>0</v>
      </c>
      <c r="G14" s="88">
        <v>0</v>
      </c>
      <c r="H14" s="88">
        <v>0</v>
      </c>
      <c r="I14" s="85">
        <v>1</v>
      </c>
      <c r="J14" s="88">
        <v>0</v>
      </c>
      <c r="K14" s="85">
        <v>1</v>
      </c>
      <c r="L14" s="88">
        <v>0</v>
      </c>
      <c r="M14" s="87">
        <v>0</v>
      </c>
      <c r="N14" s="90">
        <v>0</v>
      </c>
      <c r="O14" s="90">
        <v>0</v>
      </c>
      <c r="P14" s="90">
        <v>0</v>
      </c>
      <c r="Q14" s="91">
        <f>AVERAGE(1000,350,650,250)</f>
        <v>562.5</v>
      </c>
      <c r="R14" s="91">
        <v>1000</v>
      </c>
      <c r="S14" s="91">
        <v>250</v>
      </c>
      <c r="T14" s="90">
        <v>0</v>
      </c>
      <c r="U14" s="90">
        <v>0</v>
      </c>
      <c r="V14" s="90">
        <v>0</v>
      </c>
      <c r="W14" s="92">
        <v>1</v>
      </c>
      <c r="X14" s="93">
        <v>0.17</v>
      </c>
    </row>
    <row r="15" spans="1:24" x14ac:dyDescent="0.2">
      <c r="A15" s="84">
        <v>44044</v>
      </c>
      <c r="B15" s="85">
        <v>32</v>
      </c>
      <c r="C15" s="85">
        <v>6</v>
      </c>
      <c r="D15" s="86">
        <f t="shared" si="0"/>
        <v>0.1875</v>
      </c>
      <c r="E15" s="89">
        <v>4</v>
      </c>
      <c r="F15" s="86">
        <f>Table22[[#This Row],[Cases with Gas issue]]/Table22[[#This Row],[Total calls]]</f>
        <v>0.125</v>
      </c>
      <c r="G15" s="88">
        <v>0</v>
      </c>
      <c r="H15" s="85">
        <v>1</v>
      </c>
      <c r="I15" s="88">
        <v>0</v>
      </c>
      <c r="J15" s="89">
        <v>1</v>
      </c>
      <c r="K15" s="88">
        <v>0</v>
      </c>
      <c r="L15" s="85">
        <v>1</v>
      </c>
      <c r="M15" s="87">
        <v>0</v>
      </c>
      <c r="N15" s="90">
        <v>4500</v>
      </c>
      <c r="O15" s="90">
        <v>7000</v>
      </c>
      <c r="P15" s="90">
        <v>2000</v>
      </c>
      <c r="Q15" s="91">
        <f>AVERAGE(1050,600,450,400)</f>
        <v>625</v>
      </c>
      <c r="R15" s="91">
        <v>1050</v>
      </c>
      <c r="S15" s="91">
        <v>400</v>
      </c>
      <c r="T15" s="91">
        <f>AVERAGE(600,350,500)</f>
        <v>483.33333333333331</v>
      </c>
      <c r="U15" s="91">
        <v>600</v>
      </c>
      <c r="V15" s="91">
        <v>350</v>
      </c>
      <c r="W15" s="92">
        <v>4</v>
      </c>
      <c r="X15" s="93">
        <v>0.66</v>
      </c>
    </row>
    <row r="16" spans="1:24" x14ac:dyDescent="0.2">
      <c r="A16" s="84">
        <v>44075</v>
      </c>
      <c r="B16" s="85">
        <v>36</v>
      </c>
      <c r="C16" s="85">
        <v>10</v>
      </c>
      <c r="D16" s="86">
        <f t="shared" si="0"/>
        <v>0.27777777777777779</v>
      </c>
      <c r="E16" s="89">
        <v>5</v>
      </c>
      <c r="F16" s="86">
        <f>Table22[[#This Row],[Cases with Gas issue]]/Table22[[#This Row],[Total calls]]</f>
        <v>0.1388888888888889</v>
      </c>
      <c r="G16" s="88">
        <v>0</v>
      </c>
      <c r="H16" s="88">
        <v>0</v>
      </c>
      <c r="I16" s="85">
        <v>1</v>
      </c>
      <c r="J16" s="89">
        <v>1</v>
      </c>
      <c r="K16" s="85">
        <v>1</v>
      </c>
      <c r="L16" s="88">
        <v>0</v>
      </c>
      <c r="M16" s="87">
        <v>0</v>
      </c>
      <c r="N16" s="90">
        <v>340</v>
      </c>
      <c r="O16" s="90">
        <v>340</v>
      </c>
      <c r="P16" s="90">
        <v>340</v>
      </c>
      <c r="Q16" s="91">
        <f>AVERAGE(800,600,1200,1000,2500,125)</f>
        <v>1037.5</v>
      </c>
      <c r="R16" s="91">
        <v>2500</v>
      </c>
      <c r="S16" s="91">
        <v>125</v>
      </c>
      <c r="T16" s="91">
        <f>AVERAGE(158,800,392,650,412)</f>
        <v>482.4</v>
      </c>
      <c r="U16" s="91">
        <v>800</v>
      </c>
      <c r="V16" s="91">
        <v>158</v>
      </c>
      <c r="W16" s="92">
        <v>7</v>
      </c>
      <c r="X16" s="93">
        <v>0.7</v>
      </c>
    </row>
    <row r="17" spans="1:24" x14ac:dyDescent="0.2">
      <c r="A17" s="84">
        <v>44105</v>
      </c>
      <c r="B17" s="85">
        <v>30</v>
      </c>
      <c r="C17" s="85">
        <v>6</v>
      </c>
      <c r="D17" s="86">
        <f t="shared" si="0"/>
        <v>0.2</v>
      </c>
      <c r="E17" s="89">
        <v>2</v>
      </c>
      <c r="F17" s="86">
        <f>Table22[[#This Row],[Cases with Gas issue]]/Table22[[#This Row],[Total calls]]</f>
        <v>6.6666666666666666E-2</v>
      </c>
      <c r="G17" s="88">
        <v>0</v>
      </c>
      <c r="H17" s="85">
        <v>1</v>
      </c>
      <c r="I17" s="88">
        <v>0</v>
      </c>
      <c r="J17" s="89">
        <v>1</v>
      </c>
      <c r="K17" s="85">
        <v>2</v>
      </c>
      <c r="L17" s="85">
        <v>2</v>
      </c>
      <c r="M17" s="89">
        <v>1</v>
      </c>
      <c r="N17" s="90">
        <v>600</v>
      </c>
      <c r="O17" s="90">
        <v>600</v>
      </c>
      <c r="P17" s="90">
        <v>600</v>
      </c>
      <c r="Q17" s="91">
        <f>AVERAGE(228,4000,6000)</f>
        <v>3409.3333333333335</v>
      </c>
      <c r="R17" s="91">
        <v>6000</v>
      </c>
      <c r="S17" s="91">
        <v>228</v>
      </c>
      <c r="T17" s="91">
        <f>AVERAGE(1300,2000)</f>
        <v>1650</v>
      </c>
      <c r="U17" s="91">
        <v>2000</v>
      </c>
      <c r="V17" s="91">
        <v>1300</v>
      </c>
      <c r="W17" s="92">
        <v>2</v>
      </c>
      <c r="X17" s="93">
        <v>0.33</v>
      </c>
    </row>
    <row r="18" spans="1:24" x14ac:dyDescent="0.2">
      <c r="A18" s="84">
        <v>44136</v>
      </c>
      <c r="B18" s="85">
        <v>47</v>
      </c>
      <c r="C18" s="85">
        <v>9</v>
      </c>
      <c r="D18" s="86">
        <f t="shared" si="0"/>
        <v>0.19148936170212766</v>
      </c>
      <c r="E18" s="89">
        <v>7</v>
      </c>
      <c r="F18" s="86">
        <f>Table22[[#This Row],[Cases with Gas issue]]/Table22[[#This Row],[Total calls]]</f>
        <v>0.14893617021276595</v>
      </c>
      <c r="G18" s="88">
        <v>0</v>
      </c>
      <c r="H18" s="88">
        <v>0</v>
      </c>
      <c r="I18" s="85">
        <v>1</v>
      </c>
      <c r="J18" s="89">
        <v>1</v>
      </c>
      <c r="K18" s="85">
        <v>2</v>
      </c>
      <c r="L18" s="85">
        <v>1</v>
      </c>
      <c r="M18" s="87">
        <v>0</v>
      </c>
      <c r="N18" s="90">
        <v>0</v>
      </c>
      <c r="O18" s="90">
        <v>0</v>
      </c>
      <c r="P18" s="90">
        <v>0</v>
      </c>
      <c r="Q18" s="91">
        <f>AVERAGE(500,850,2000,205,1000)</f>
        <v>911</v>
      </c>
      <c r="R18" s="91">
        <v>2000</v>
      </c>
      <c r="S18" s="91">
        <v>205</v>
      </c>
      <c r="T18" s="91">
        <f>AVERAGE(18,2000,811)</f>
        <v>943</v>
      </c>
      <c r="U18" s="91">
        <v>2000</v>
      </c>
      <c r="V18" s="91">
        <v>18</v>
      </c>
      <c r="W18" s="92">
        <v>6</v>
      </c>
      <c r="X18" s="93">
        <v>0.66</v>
      </c>
    </row>
    <row r="19" spans="1:24" x14ac:dyDescent="0.2">
      <c r="A19" s="84">
        <v>44166</v>
      </c>
      <c r="B19" s="85">
        <v>40</v>
      </c>
      <c r="C19" s="85">
        <v>10</v>
      </c>
      <c r="D19" s="86">
        <f t="shared" si="0"/>
        <v>0.25</v>
      </c>
      <c r="E19" s="89">
        <v>5</v>
      </c>
      <c r="F19" s="86">
        <f>Table22[[#This Row],[Cases with Gas issue]]/Table22[[#This Row],[Total calls]]</f>
        <v>0.125</v>
      </c>
      <c r="G19" s="88">
        <v>0</v>
      </c>
      <c r="H19" s="85">
        <v>1</v>
      </c>
      <c r="I19" s="85">
        <v>2</v>
      </c>
      <c r="J19" s="88">
        <v>0</v>
      </c>
      <c r="K19" s="85">
        <v>2</v>
      </c>
      <c r="L19" s="85">
        <v>3</v>
      </c>
      <c r="M19" s="95">
        <v>1</v>
      </c>
      <c r="N19" s="90">
        <v>0</v>
      </c>
      <c r="O19" s="90">
        <v>0</v>
      </c>
      <c r="P19" s="90">
        <v>0</v>
      </c>
      <c r="Q19" s="91">
        <f>AVERAGE(1300,220,3000,5000,266,9000)</f>
        <v>3131</v>
      </c>
      <c r="R19" s="91">
        <v>9000</v>
      </c>
      <c r="S19" s="91">
        <v>220</v>
      </c>
      <c r="T19" s="91">
        <f>AVERAGE(200,160,711,2000,235,1700)</f>
        <v>834.33333333333337</v>
      </c>
      <c r="U19" s="91">
        <v>2000</v>
      </c>
      <c r="V19" s="91">
        <v>160</v>
      </c>
      <c r="W19" s="92">
        <v>7</v>
      </c>
      <c r="X19" s="93">
        <v>0.78</v>
      </c>
    </row>
    <row r="20" spans="1:24" x14ac:dyDescent="0.2">
      <c r="A20" s="96" t="s">
        <v>54</v>
      </c>
      <c r="B20" s="97">
        <f>SUM(Table22[Total calls])</f>
        <v>808</v>
      </c>
      <c r="C20" s="97">
        <f>SUM(Table22[Energy calls])</f>
        <v>133</v>
      </c>
      <c r="D20" s="98">
        <f>133/808</f>
        <v>0.16460396039603961</v>
      </c>
      <c r="E20" s="99">
        <f>SUM(Table22[Cases with Gas issue])</f>
        <v>59</v>
      </c>
      <c r="F20" s="98">
        <f>58/133</f>
        <v>0.43609022556390975</v>
      </c>
      <c r="G20" s="97">
        <f>SUM(Table22[Disconnections])</f>
        <v>2</v>
      </c>
      <c r="H20" s="97">
        <f>SUM(Table22[Threats of disconnection])</f>
        <v>7</v>
      </c>
      <c r="I20" s="97">
        <f>SUM(Table22[URG not offered or offered incorrectly])</f>
        <v>17</v>
      </c>
      <c r="J20" s="99">
        <f>SUM(Table22[Cases where caller received URG])</f>
        <v>13</v>
      </c>
      <c r="K20" s="97">
        <f>SUM(Table22[Unaffordable payment plans])</f>
        <v>19</v>
      </c>
      <c r="L20" s="97">
        <f>SUM(Table22[Large Debt])</f>
        <v>18</v>
      </c>
      <c r="M20" s="99">
        <f>SUM(Table22[Inappropriate referrals])</f>
        <v>9</v>
      </c>
      <c r="N20" s="97"/>
      <c r="O20" s="97"/>
      <c r="P20" s="97"/>
      <c r="Q20" s="97"/>
      <c r="R20" s="97"/>
      <c r="S20" s="97"/>
      <c r="T20" s="97"/>
      <c r="U20" s="97"/>
      <c r="V20" s="97"/>
      <c r="W20" s="100" t="s">
        <v>183</v>
      </c>
      <c r="X20" s="101" t="s">
        <v>184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E29F-BB4E-44EC-8A6D-C827BDD3C0CF}">
  <dimension ref="A1:AL36"/>
  <sheetViews>
    <sheetView topLeftCell="A2" workbookViewId="0">
      <pane xSplit="1" topLeftCell="I1" activePane="topRight" state="frozen"/>
      <selection pane="topRight" activeCell="A18" sqref="A18"/>
    </sheetView>
  </sheetViews>
  <sheetFormatPr baseColWidth="10" defaultColWidth="9.1640625" defaultRowHeight="15" x14ac:dyDescent="0.2"/>
  <cols>
    <col min="1" max="1" width="20.6640625" style="3" customWidth="1"/>
    <col min="2" max="2" width="18.33203125" style="3" customWidth="1"/>
    <col min="3" max="3" width="18.6640625" style="3" customWidth="1"/>
    <col min="4" max="4" width="14.33203125" style="3" customWidth="1"/>
    <col min="5" max="5" width="15.5" style="3" customWidth="1"/>
    <col min="6" max="6" width="17" style="3" customWidth="1"/>
    <col min="7" max="7" width="14.6640625" style="3" customWidth="1"/>
    <col min="8" max="8" width="17.6640625" style="3" customWidth="1"/>
    <col min="9" max="9" width="18.6640625" style="3" customWidth="1"/>
    <col min="10" max="10" width="17.6640625" style="3" customWidth="1"/>
    <col min="11" max="11" width="22.1640625" style="3" customWidth="1"/>
    <col min="12" max="12" width="11.5" style="3" customWidth="1"/>
    <col min="13" max="13" width="16.6640625" style="3" customWidth="1"/>
    <col min="14" max="14" width="19.5" style="3" customWidth="1"/>
    <col min="15" max="15" width="24.6640625" style="3" customWidth="1"/>
    <col min="16" max="16" width="23" style="3" customWidth="1"/>
    <col min="17" max="17" width="22.6640625" style="3" customWidth="1"/>
    <col min="18" max="18" width="21.6640625" style="3" customWidth="1"/>
    <col min="19" max="19" width="25.1640625" style="3" customWidth="1"/>
    <col min="20" max="20" width="22.6640625" style="3" customWidth="1"/>
    <col min="21" max="21" width="24.6640625" style="3" customWidth="1"/>
    <col min="22" max="22" width="22.6640625" style="3" customWidth="1"/>
    <col min="23" max="23" width="24.1640625" style="3" customWidth="1"/>
    <col min="24" max="24" width="21.6640625" style="3" customWidth="1"/>
    <col min="25" max="25" width="23.6640625" style="3" customWidth="1"/>
    <col min="26" max="26" width="14.33203125" style="3" customWidth="1"/>
    <col min="27" max="27" width="24.5" style="3" customWidth="1"/>
    <col min="28" max="28" width="22.6640625" style="3" customWidth="1"/>
    <col min="29" max="29" width="18.6640625" style="3" customWidth="1"/>
    <col min="30" max="30" width="23.5" style="3" customWidth="1"/>
    <col min="31" max="32" width="19" style="3" customWidth="1"/>
    <col min="33" max="33" width="48.6640625" style="3" customWidth="1"/>
    <col min="34" max="16384" width="9.1640625" style="3"/>
  </cols>
  <sheetData>
    <row r="1" spans="1:33" ht="63" customHeight="1" x14ac:dyDescent="0.2">
      <c r="A1" s="3" t="s">
        <v>5</v>
      </c>
      <c r="B1" s="3" t="s">
        <v>6</v>
      </c>
      <c r="C1" s="3" t="s">
        <v>7</v>
      </c>
      <c r="D1" s="3" t="s">
        <v>117</v>
      </c>
      <c r="E1" s="3" t="s">
        <v>123</v>
      </c>
      <c r="F1" s="3" t="s">
        <v>119</v>
      </c>
      <c r="G1" s="3" t="s">
        <v>124</v>
      </c>
      <c r="H1" s="3" t="s">
        <v>120</v>
      </c>
      <c r="I1" s="3" t="s">
        <v>121</v>
      </c>
      <c r="J1" s="3" t="s">
        <v>122</v>
      </c>
      <c r="K1" s="3" t="s">
        <v>125</v>
      </c>
      <c r="L1" s="3" t="s">
        <v>126</v>
      </c>
      <c r="M1" s="3" t="s">
        <v>127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138</v>
      </c>
      <c r="U1" s="3" t="s">
        <v>137</v>
      </c>
      <c r="V1" s="3" t="s">
        <v>136</v>
      </c>
      <c r="W1" s="3" t="s">
        <v>135</v>
      </c>
      <c r="X1" s="3" t="s">
        <v>14</v>
      </c>
      <c r="Y1" s="3" t="s">
        <v>15</v>
      </c>
      <c r="Z1" s="15" t="s">
        <v>16</v>
      </c>
      <c r="AA1" s="3" t="s">
        <v>17</v>
      </c>
      <c r="AB1" s="3" t="s">
        <v>18</v>
      </c>
      <c r="AC1" s="3" t="s">
        <v>19</v>
      </c>
      <c r="AD1" s="3" t="s">
        <v>20</v>
      </c>
      <c r="AE1" s="3" t="s">
        <v>21</v>
      </c>
      <c r="AF1" s="3" t="s">
        <v>197</v>
      </c>
      <c r="AG1" s="3" t="s">
        <v>34</v>
      </c>
    </row>
    <row r="2" spans="1:33" ht="47" customHeight="1" x14ac:dyDescent="0.2">
      <c r="A2" s="5" t="s">
        <v>22</v>
      </c>
      <c r="B2">
        <v>28</v>
      </c>
      <c r="C2" s="2">
        <f t="shared" ref="C2:C15" si="0">B2/133</f>
        <v>0.21052631578947367</v>
      </c>
      <c r="D2" s="2">
        <v>0.22</v>
      </c>
      <c r="E2">
        <v>0</v>
      </c>
      <c r="F2" s="2">
        <f>Table13[[#This Row],[No. of disconnections]]/Table13[[#This Row],[Number of calls]]</f>
        <v>0</v>
      </c>
      <c r="G2">
        <v>0</v>
      </c>
      <c r="H2" s="2">
        <f>Table13[[#This Row],[No. of disconnection threats]]/Table13[[#This Row],[Number of calls]]</f>
        <v>0</v>
      </c>
      <c r="I2">
        <v>6</v>
      </c>
      <c r="J2">
        <v>5</v>
      </c>
      <c r="K2" s="2">
        <f>Table13[[#This Row],[No. of unaffordable payment plans]]/Table13[[#This Row],[Number of calls]]</f>
        <v>0.17857142857142858</v>
      </c>
      <c r="L2">
        <v>4</v>
      </c>
      <c r="M2" s="5">
        <v>1</v>
      </c>
      <c r="N2" s="46">
        <v>1</v>
      </c>
      <c r="O2" s="49">
        <v>2900</v>
      </c>
      <c r="P2" s="50">
        <v>2900</v>
      </c>
      <c r="Q2" s="50">
        <v>2900</v>
      </c>
      <c r="R2" s="50">
        <v>2900</v>
      </c>
      <c r="S2" s="50">
        <f>Table13[[#This Row],[Max amount of closed energy account debt]]-Table13[[#This Row],[Min amount of closed energy account debt]]</f>
        <v>0</v>
      </c>
      <c r="T2" s="13">
        <v>27</v>
      </c>
      <c r="U2" s="50">
        <f>AVERAGE(250,800,371,1200,1500,300,99,2800,1700,500,500,686,800,299,700,300,600,450,500,1300,3000,5000)</f>
        <v>1075.2272727272727</v>
      </c>
      <c r="V2" s="50">
        <f>MEDIAN(250,800,371,1200,1500,300,99,2800,1700,500,500,686,800,299,700,300,600,450,500,1300,3000,5000)</f>
        <v>643</v>
      </c>
      <c r="W2" s="50">
        <v>99</v>
      </c>
      <c r="X2" s="50">
        <v>5000</v>
      </c>
      <c r="Y2" s="50">
        <f>Table13[[#This Row],[Max open energy account debt amount ]]-Table13[[#This Row],[Min open electricity account debt amount ]]</f>
        <v>4901</v>
      </c>
      <c r="Z2" s="74">
        <v>16</v>
      </c>
      <c r="AA2" s="51">
        <f>MEDIAN(250,800,1500,40,1400,750,500,384,100,600,350,200,711,2000)</f>
        <v>550</v>
      </c>
      <c r="AB2" s="51">
        <f>AVERAGE(250,800,1500,40,1400,750,500,384,100,600,350,200,711,2000)</f>
        <v>684.64285714285711</v>
      </c>
      <c r="AC2" s="47">
        <v>40</v>
      </c>
      <c r="AD2" s="48">
        <v>2000</v>
      </c>
      <c r="AE2" s="51">
        <f>Table13[[#This Row],[Max gas debt amount]]-Table13[[#This Row],[Min gas debt amount]]</f>
        <v>1960</v>
      </c>
      <c r="AF2" s="51"/>
      <c r="AG2" s="19" t="s">
        <v>139</v>
      </c>
    </row>
    <row r="3" spans="1:33" s="15" customFormat="1" ht="48" x14ac:dyDescent="0.2">
      <c r="A3" s="5" t="s">
        <v>28</v>
      </c>
      <c r="B3" s="5">
        <v>15</v>
      </c>
      <c r="C3" s="6">
        <f t="shared" si="0"/>
        <v>0.11278195488721804</v>
      </c>
      <c r="D3" s="6">
        <v>0.05</v>
      </c>
      <c r="E3" s="5">
        <v>2</v>
      </c>
      <c r="F3" s="6">
        <f>Table13[[#This Row],[No. of disconnections]]/Table13[[#This Row],[Number of calls]]</f>
        <v>0.13333333333333333</v>
      </c>
      <c r="G3" s="5">
        <v>2</v>
      </c>
      <c r="H3" s="6">
        <f>Table13[[#This Row],[No. of disconnection threats]]/Table13[[#This Row],[Number of calls]]</f>
        <v>0.13333333333333333</v>
      </c>
      <c r="I3" s="5">
        <v>4</v>
      </c>
      <c r="J3" s="5">
        <v>5</v>
      </c>
      <c r="K3" s="6">
        <f>Table13[[#This Row],[No. of unaffordable payment plans]]/Table13[[#This Row],[Number of calls]]</f>
        <v>0.33333333333333331</v>
      </c>
      <c r="L3">
        <v>3</v>
      </c>
      <c r="M3" s="5">
        <v>4</v>
      </c>
      <c r="N3" s="46"/>
      <c r="O3" s="49">
        <v>0</v>
      </c>
      <c r="P3" s="50">
        <v>0</v>
      </c>
      <c r="Q3" s="50">
        <v>0</v>
      </c>
      <c r="R3" s="50">
        <v>0</v>
      </c>
      <c r="S3" s="50">
        <f>Table13[[#This Row],[Max amount of closed energy account debt]]-Table13[[#This Row],[Min amount of closed energy account debt]]</f>
        <v>0</v>
      </c>
      <c r="T3" s="13">
        <v>14</v>
      </c>
      <c r="U3" s="50">
        <f>AVERAGE(1200,300,759,1737,1400,1228,11000,2500,1200,2000,10808)</f>
        <v>3102.909090909091</v>
      </c>
      <c r="V3" s="50">
        <f>MEDIAN(1200,300,759,1737,1400,1228,11000,2500,1200,2000,10808)</f>
        <v>1400</v>
      </c>
      <c r="W3" s="50">
        <v>300</v>
      </c>
      <c r="X3" s="50">
        <v>11000</v>
      </c>
      <c r="Y3" s="50">
        <f>Table13[[#This Row],[Max open energy account debt amount ]]-Table13[[#This Row],[Min open electricity account debt amount ]]</f>
        <v>10700</v>
      </c>
      <c r="Z3" s="14">
        <v>8</v>
      </c>
      <c r="AA3" s="50">
        <f>MEDIAN(400,1339,2000,2500,1442,14154,435)</f>
        <v>1442</v>
      </c>
      <c r="AB3" s="50">
        <f>AVERAGE(400,1339,2000,2500,1442,14154,435)</f>
        <v>3181.4285714285716</v>
      </c>
      <c r="AC3" s="50">
        <v>400</v>
      </c>
      <c r="AD3" s="50">
        <v>14154</v>
      </c>
      <c r="AE3" s="51">
        <f>Table13[[#This Row],[Max gas debt amount]]-Table13[[#This Row],[Min gas debt amount]]</f>
        <v>13754</v>
      </c>
      <c r="AF3" s="51"/>
      <c r="AG3" s="20" t="s">
        <v>134</v>
      </c>
    </row>
    <row r="4" spans="1:33" ht="16" x14ac:dyDescent="0.2">
      <c r="A4" s="5" t="s">
        <v>29</v>
      </c>
      <c r="B4">
        <v>3</v>
      </c>
      <c r="C4" s="6">
        <f t="shared" si="0"/>
        <v>2.2556390977443608E-2</v>
      </c>
      <c r="D4" s="2">
        <v>0.02</v>
      </c>
      <c r="E4">
        <v>0</v>
      </c>
      <c r="F4" s="2">
        <f>Table13[[#This Row],[No. of disconnections]]/Table13[[#This Row],[Number of calls]]</f>
        <v>0</v>
      </c>
      <c r="G4">
        <v>0</v>
      </c>
      <c r="H4" s="2">
        <f>Table13[[#This Row],[No. of disconnection threats]]/Table13[[#This Row],[Number of calls]]</f>
        <v>0</v>
      </c>
      <c r="I4">
        <v>0</v>
      </c>
      <c r="J4">
        <v>0</v>
      </c>
      <c r="K4" s="2">
        <f>Table13[[#This Row],[No. of unaffordable payment plans]]/Table13[[#This Row],[Number of calls]]</f>
        <v>0</v>
      </c>
      <c r="L4">
        <v>1</v>
      </c>
      <c r="M4" s="5"/>
      <c r="N4" s="5">
        <v>1</v>
      </c>
      <c r="O4" s="49">
        <f t="shared" ref="O4" si="1">MEDIAN(340)</f>
        <v>340</v>
      </c>
      <c r="P4" s="50">
        <f t="shared" ref="P4" si="2">AVERAGE(340)</f>
        <v>340</v>
      </c>
      <c r="Q4" s="50">
        <v>340</v>
      </c>
      <c r="R4" s="50">
        <v>340</v>
      </c>
      <c r="S4" s="50">
        <f>Table13[[#This Row],[Max amount of closed energy account debt]]-Table13[[#This Row],[Min amount of closed energy account debt]]</f>
        <v>0</v>
      </c>
      <c r="T4" s="13">
        <v>1</v>
      </c>
      <c r="U4" s="50">
        <f t="shared" ref="U4" si="3">AVERAGE(1200)</f>
        <v>1200</v>
      </c>
      <c r="V4" s="50">
        <f t="shared" ref="V4" si="4">MEDIAN(1200)</f>
        <v>1200</v>
      </c>
      <c r="W4" s="50">
        <v>1200</v>
      </c>
      <c r="X4" s="50">
        <v>1200</v>
      </c>
      <c r="Y4" s="50">
        <f>Table13[[#This Row],[Max open energy account debt amount ]]-Table13[[#This Row],[Min open electricity account debt amount ]]</f>
        <v>0</v>
      </c>
      <c r="Z4" s="14">
        <v>2</v>
      </c>
      <c r="AA4" s="48">
        <f>MEDIAN(1700,2700)</f>
        <v>2200</v>
      </c>
      <c r="AB4" s="48">
        <f t="shared" ref="AB4" si="5">AVERAGE(1700,2700)</f>
        <v>2200</v>
      </c>
      <c r="AC4" s="48">
        <v>1700</v>
      </c>
      <c r="AD4" s="48">
        <v>2700</v>
      </c>
      <c r="AE4" s="51">
        <f>Table13[[#This Row],[Max gas debt amount]]-Table13[[#This Row],[Min gas debt amount]]</f>
        <v>1000</v>
      </c>
      <c r="AF4" s="51"/>
      <c r="AG4" s="19" t="s">
        <v>37</v>
      </c>
    </row>
    <row r="5" spans="1:33" ht="16" x14ac:dyDescent="0.2">
      <c r="A5" s="5" t="s">
        <v>32</v>
      </c>
      <c r="B5">
        <v>4</v>
      </c>
      <c r="C5" s="6">
        <f t="shared" si="0"/>
        <v>3.007518796992481E-2</v>
      </c>
      <c r="D5" s="2">
        <v>0.02</v>
      </c>
      <c r="E5">
        <v>0</v>
      </c>
      <c r="F5" s="2">
        <f>Table13[[#This Row],[No. of disconnections]]/Table13[[#This Row],[Number of calls]]</f>
        <v>0</v>
      </c>
      <c r="G5">
        <v>0</v>
      </c>
      <c r="H5" s="2">
        <f>Table13[[#This Row],[No. of disconnection threats]]/Table13[[#This Row],[Number of calls]]</f>
        <v>0</v>
      </c>
      <c r="I5">
        <v>1</v>
      </c>
      <c r="J5">
        <v>1</v>
      </c>
      <c r="K5" s="2">
        <f>Table13[[#This Row],[No. of unaffordable payment plans]]/Table13[[#This Row],[Number of calls]]</f>
        <v>0.25</v>
      </c>
      <c r="L5">
        <v>0</v>
      </c>
      <c r="M5" s="5"/>
      <c r="N5" s="46"/>
      <c r="O5" s="49">
        <v>0</v>
      </c>
      <c r="P5" s="49">
        <v>0</v>
      </c>
      <c r="Q5" s="49">
        <v>0</v>
      </c>
      <c r="R5" s="49">
        <v>0</v>
      </c>
      <c r="S5" s="50">
        <f>Table13[[#This Row],[Max amount of closed energy account debt]]-Table13[[#This Row],[Min amount of closed energy account debt]]</f>
        <v>0</v>
      </c>
      <c r="T5" s="13">
        <v>4</v>
      </c>
      <c r="U5" s="50">
        <f>AVERAGE(228,400,300,800)</f>
        <v>432</v>
      </c>
      <c r="V5" s="50">
        <f>MEDIAN(228,300,400,800)</f>
        <v>350</v>
      </c>
      <c r="W5" s="50">
        <v>228</v>
      </c>
      <c r="X5" s="50">
        <v>800</v>
      </c>
      <c r="Y5" s="50">
        <f>Table13[[#This Row],[Max open energy account debt amount ]]-Table13[[#This Row],[Min open electricity account debt amount ]]</f>
        <v>572</v>
      </c>
      <c r="Z5" s="14">
        <v>2</v>
      </c>
      <c r="AA5" s="48">
        <f>MEDIAN(900,2000)</f>
        <v>1450</v>
      </c>
      <c r="AB5" s="48">
        <f>AVERAGE(900,2000)</f>
        <v>1450</v>
      </c>
      <c r="AC5" s="47">
        <v>900</v>
      </c>
      <c r="AD5" s="48">
        <v>2000</v>
      </c>
      <c r="AE5" s="51">
        <f>Table13[[#This Row],[Max gas debt amount]]-Table13[[#This Row],[Min gas debt amount]]</f>
        <v>1100</v>
      </c>
      <c r="AF5" s="51"/>
      <c r="AG5" s="19" t="s">
        <v>38</v>
      </c>
    </row>
    <row r="6" spans="1:33" ht="18" customHeight="1" x14ac:dyDescent="0.2">
      <c r="A6" s="5" t="s">
        <v>25</v>
      </c>
      <c r="B6">
        <v>8</v>
      </c>
      <c r="C6" s="6">
        <f t="shared" si="0"/>
        <v>6.0150375939849621E-2</v>
      </c>
      <c r="D6" s="2">
        <v>0.15</v>
      </c>
      <c r="E6">
        <v>0</v>
      </c>
      <c r="F6" s="2">
        <f>Table13[[#This Row],[No. of disconnections]]/Table13[[#This Row],[Number of calls]]</f>
        <v>0</v>
      </c>
      <c r="G6">
        <v>0</v>
      </c>
      <c r="H6" s="2">
        <f>Table13[[#This Row],[No. of disconnection threats]]/Table13[[#This Row],[Number of calls]]</f>
        <v>0</v>
      </c>
      <c r="I6">
        <v>2</v>
      </c>
      <c r="J6">
        <v>2</v>
      </c>
      <c r="K6" s="2">
        <f>Table13[[#This Row],[No. of unaffordable payment plans]]/Table13[[#This Row],[Number of calls]]</f>
        <v>0.25</v>
      </c>
      <c r="L6">
        <v>2</v>
      </c>
      <c r="M6" s="5"/>
      <c r="N6" s="5">
        <v>1</v>
      </c>
      <c r="O6" s="49">
        <v>600</v>
      </c>
      <c r="P6" s="50">
        <v>600</v>
      </c>
      <c r="Q6" s="50">
        <v>600</v>
      </c>
      <c r="R6" s="50">
        <v>600</v>
      </c>
      <c r="S6" s="50">
        <f>Table13[[#This Row],[Max amount of closed energy account debt]]-Table13[[#This Row],[Min amount of closed energy account debt]]</f>
        <v>0</v>
      </c>
      <c r="T6" s="13">
        <v>7</v>
      </c>
      <c r="U6" s="50">
        <f>AVERAGE(800,800,1600,2000,5000,2000,2000)</f>
        <v>2028.5714285714287</v>
      </c>
      <c r="V6" s="50">
        <f>MEDIAN(800,800,2000,1600,2000,5000,2000)</f>
        <v>2000</v>
      </c>
      <c r="W6" s="50">
        <v>800</v>
      </c>
      <c r="X6" s="50">
        <v>5000</v>
      </c>
      <c r="Y6" s="50">
        <f>Table13[[#This Row],[Max open energy account debt amount ]]-Table13[[#This Row],[Min open electricity account debt amount ]]</f>
        <v>4200</v>
      </c>
      <c r="Z6" s="14">
        <v>2</v>
      </c>
      <c r="AA6" s="48">
        <f>MEDIAN(2000,3000)</f>
        <v>2500</v>
      </c>
      <c r="AB6" s="48">
        <f>AVERAGE(2000,3000)</f>
        <v>2500</v>
      </c>
      <c r="AC6" s="48">
        <v>2000</v>
      </c>
      <c r="AD6" s="48">
        <v>3000</v>
      </c>
      <c r="AE6" s="51">
        <f>Table13[[#This Row],[Max gas debt amount]]-Table13[[#This Row],[Min gas debt amount]]</f>
        <v>1000</v>
      </c>
      <c r="AF6" s="51"/>
      <c r="AG6" s="19" t="s">
        <v>40</v>
      </c>
    </row>
    <row r="7" spans="1:33" ht="18" customHeight="1" x14ac:dyDescent="0.2">
      <c r="A7" s="5" t="s">
        <v>27</v>
      </c>
      <c r="B7">
        <v>8</v>
      </c>
      <c r="C7" s="6">
        <f t="shared" si="0"/>
        <v>6.0150375939849621E-2</v>
      </c>
      <c r="D7" s="2">
        <v>0.05</v>
      </c>
      <c r="E7">
        <v>0</v>
      </c>
      <c r="F7" s="2">
        <f>Table13[[#This Row],[No. of disconnections]]/Table13[[#This Row],[Number of calls]]</f>
        <v>0</v>
      </c>
      <c r="G7">
        <v>2</v>
      </c>
      <c r="H7" s="2">
        <f>Table13[[#This Row],[No. of disconnection threats]]/Table13[[#This Row],[Number of calls]]</f>
        <v>0.25</v>
      </c>
      <c r="I7">
        <v>1</v>
      </c>
      <c r="J7">
        <v>2</v>
      </c>
      <c r="K7" s="2">
        <f>Table13[[#This Row],[No. of unaffordable payment plans]]/Table13[[#This Row],[Number of calls]]</f>
        <v>0.25</v>
      </c>
      <c r="L7">
        <v>2</v>
      </c>
      <c r="M7" s="5"/>
      <c r="N7" s="46"/>
      <c r="O7" s="49">
        <v>0</v>
      </c>
      <c r="P7" s="49">
        <v>0</v>
      </c>
      <c r="Q7" s="49">
        <v>0</v>
      </c>
      <c r="R7" s="49">
        <v>0</v>
      </c>
      <c r="S7" s="50">
        <f>Table13[[#This Row],[Max amount of closed energy account debt]]-Table13[[#This Row],[Min amount of closed energy account debt]]</f>
        <v>0</v>
      </c>
      <c r="T7" s="13">
        <v>8</v>
      </c>
      <c r="U7" s="50">
        <f>AVERAGE(3000,2500,83,350,1200,9000)</f>
        <v>2688.8333333333335</v>
      </c>
      <c r="V7" s="50">
        <f>MEDIAN(3000,2500,83,350,1200,9000)</f>
        <v>1850</v>
      </c>
      <c r="W7" s="50">
        <v>83</v>
      </c>
      <c r="X7" s="50">
        <v>9000</v>
      </c>
      <c r="Y7" s="50">
        <f>Table13[[#This Row],[Max open energy account debt amount ]]-Table13[[#This Row],[Min open electricity account debt amount ]]</f>
        <v>8917</v>
      </c>
      <c r="Z7" s="14">
        <v>4</v>
      </c>
      <c r="AA7" s="48">
        <f>MEDIAN(129,800,1700)</f>
        <v>800</v>
      </c>
      <c r="AB7" s="48">
        <f>AVERAGE(129,800,1700)</f>
        <v>876.33333333333337</v>
      </c>
      <c r="AC7" s="47">
        <v>129</v>
      </c>
      <c r="AD7" s="48">
        <v>1700</v>
      </c>
      <c r="AE7" s="51">
        <f>Table13[[#This Row],[Max gas debt amount]]-Table13[[#This Row],[Min gas debt amount]]</f>
        <v>1571</v>
      </c>
      <c r="AF7" s="51"/>
      <c r="AG7" s="19" t="s">
        <v>41</v>
      </c>
    </row>
    <row r="8" spans="1:33" ht="16" x14ac:dyDescent="0.2">
      <c r="A8" s="5" t="s">
        <v>26</v>
      </c>
      <c r="B8">
        <v>4</v>
      </c>
      <c r="C8" s="6">
        <f t="shared" si="0"/>
        <v>3.007518796992481E-2</v>
      </c>
      <c r="D8" s="2">
        <v>0.04</v>
      </c>
      <c r="E8">
        <v>0</v>
      </c>
      <c r="F8" s="2">
        <f>Table13[[#This Row],[No. of disconnections]]/Table13[[#This Row],[Number of calls]]</f>
        <v>0</v>
      </c>
      <c r="G8">
        <v>2</v>
      </c>
      <c r="H8" s="2">
        <f>Table13[[#This Row],[No. of disconnection threats]]/Table13[[#This Row],[Number of calls]]</f>
        <v>0.5</v>
      </c>
      <c r="I8">
        <v>0</v>
      </c>
      <c r="J8">
        <v>1</v>
      </c>
      <c r="K8" s="2">
        <f>Table13[[#This Row],[No. of unaffordable payment plans]]/Table13[[#This Row],[Number of calls]]</f>
        <v>0.25</v>
      </c>
      <c r="L8">
        <v>1</v>
      </c>
      <c r="M8" s="5">
        <v>1</v>
      </c>
      <c r="N8" s="46"/>
      <c r="O8" s="49">
        <v>0</v>
      </c>
      <c r="P8" s="49">
        <v>0</v>
      </c>
      <c r="Q8" s="49">
        <v>0</v>
      </c>
      <c r="R8" s="49">
        <v>0</v>
      </c>
      <c r="S8" s="50">
        <f>Table13[[#This Row],[Max amount of closed energy account debt]]-Table13[[#This Row],[Min amount of closed energy account debt]]</f>
        <v>0</v>
      </c>
      <c r="T8" s="13">
        <v>4</v>
      </c>
      <c r="U8" s="50">
        <f>AVERAGE(1050,400,6000)</f>
        <v>2483.3333333333335</v>
      </c>
      <c r="V8" s="50">
        <f>MEDIAN(1050,400,6000)</f>
        <v>1050</v>
      </c>
      <c r="W8" s="50">
        <v>400</v>
      </c>
      <c r="X8" s="50">
        <v>6000</v>
      </c>
      <c r="Y8" s="50">
        <f>Table13[[#This Row],[Max open energy account debt amount ]]-Table13[[#This Row],[Min open electricity account debt amount ]]</f>
        <v>5600</v>
      </c>
      <c r="Z8" s="14">
        <v>1</v>
      </c>
      <c r="AA8" s="48">
        <v>500</v>
      </c>
      <c r="AB8" s="48">
        <v>500</v>
      </c>
      <c r="AC8" s="47">
        <v>500</v>
      </c>
      <c r="AD8" s="48">
        <v>500</v>
      </c>
      <c r="AE8" s="51">
        <f>Table13[[#This Row],[Max gas debt amount]]-Table13[[#This Row],[Min gas debt amount]]</f>
        <v>0</v>
      </c>
      <c r="AF8" s="51"/>
      <c r="AG8" s="19" t="s">
        <v>39</v>
      </c>
    </row>
    <row r="9" spans="1:33" ht="32" x14ac:dyDescent="0.2">
      <c r="A9" s="5" t="s">
        <v>23</v>
      </c>
      <c r="B9">
        <v>12</v>
      </c>
      <c r="C9" s="6">
        <f t="shared" si="0"/>
        <v>9.0225563909774431E-2</v>
      </c>
      <c r="D9" s="2">
        <v>0.17</v>
      </c>
      <c r="E9">
        <v>0</v>
      </c>
      <c r="F9" s="2">
        <f>Table13[[#This Row],[No. of disconnections]]/Table13[[#This Row],[Number of calls]]</f>
        <v>0</v>
      </c>
      <c r="G9">
        <v>0</v>
      </c>
      <c r="H9" s="2">
        <f>Table13[[#This Row],[No. of disconnection threats]]/Table13[[#This Row],[Number of calls]]</f>
        <v>0</v>
      </c>
      <c r="I9">
        <v>1</v>
      </c>
      <c r="J9">
        <v>3</v>
      </c>
      <c r="K9" s="2">
        <f>Table13[[#This Row],[No. of unaffordable payment plans]]/Table13[[#This Row],[Number of calls]]</f>
        <v>0.25</v>
      </c>
      <c r="L9">
        <v>3</v>
      </c>
      <c r="M9" s="5">
        <v>2</v>
      </c>
      <c r="N9" s="5">
        <v>5</v>
      </c>
      <c r="O9" s="49">
        <f>MEDIAN(500,290,490,7000)</f>
        <v>495</v>
      </c>
      <c r="P9" s="49">
        <f>AVERAGE(500,290,490,7000)</f>
        <v>2070</v>
      </c>
      <c r="Q9" s="50">
        <v>290</v>
      </c>
      <c r="R9" s="50">
        <v>7000</v>
      </c>
      <c r="S9" s="50">
        <f>Table13[[#This Row],[Max amount of closed energy account debt]]-Table13[[#This Row],[Min amount of closed energy account debt]]</f>
        <v>6710</v>
      </c>
      <c r="T9" s="13">
        <v>8</v>
      </c>
      <c r="U9" s="50">
        <f>AVERAGE(200,3000,1000,4000,1000)</f>
        <v>1840</v>
      </c>
      <c r="V9" s="50">
        <f>MEDIAN(200,3000,1000,4000,1000)</f>
        <v>1000</v>
      </c>
      <c r="W9" s="50">
        <v>200</v>
      </c>
      <c r="X9" s="50">
        <v>4000</v>
      </c>
      <c r="Y9" s="50">
        <f>Table13[[#This Row],[Max open energy account debt amount ]]-Table13[[#This Row],[Min open electricity account debt amount ]]</f>
        <v>3800</v>
      </c>
      <c r="Z9" s="14">
        <v>4</v>
      </c>
      <c r="AA9" s="48">
        <f>MEDIAN(2000,2000)</f>
        <v>2000</v>
      </c>
      <c r="AB9" s="48">
        <f>AVERAGE(2000,2000)</f>
        <v>2000</v>
      </c>
      <c r="AC9" s="48">
        <v>2000</v>
      </c>
      <c r="AD9" s="48">
        <v>2000</v>
      </c>
      <c r="AE9" s="51">
        <f>Table13[[#This Row],[Max gas debt amount]]-Table13[[#This Row],[Min gas debt amount]]</f>
        <v>0</v>
      </c>
      <c r="AF9" s="51"/>
      <c r="AG9" s="19" t="s">
        <v>43</v>
      </c>
    </row>
    <row r="10" spans="1:33" x14ac:dyDescent="0.2">
      <c r="A10" s="5" t="s">
        <v>33</v>
      </c>
      <c r="B10">
        <v>1</v>
      </c>
      <c r="C10" s="6">
        <f t="shared" si="0"/>
        <v>7.5187969924812026E-3</v>
      </c>
      <c r="D10" s="2">
        <v>0.03</v>
      </c>
      <c r="E10">
        <v>0</v>
      </c>
      <c r="F10" s="2">
        <f>Table13[[#This Row],[No. of disconnections]]/Table13[[#This Row],[Number of calls]]</f>
        <v>0</v>
      </c>
      <c r="G10">
        <v>0</v>
      </c>
      <c r="H10" s="2">
        <f>Table13[[#This Row],[No. of disconnection threats]]/Table13[[#This Row],[Number of calls]]</f>
        <v>0</v>
      </c>
      <c r="I10">
        <v>0</v>
      </c>
      <c r="J10">
        <v>0</v>
      </c>
      <c r="K10" s="2">
        <f>Table13[[#This Row],[No. of unaffordable payment plans]]/Table13[[#This Row],[Number of calls]]</f>
        <v>0</v>
      </c>
      <c r="L10">
        <v>0</v>
      </c>
      <c r="M10" s="5"/>
      <c r="N10" s="46"/>
      <c r="O10" s="49">
        <v>0</v>
      </c>
      <c r="P10" s="49">
        <v>0</v>
      </c>
      <c r="Q10" s="49">
        <v>0</v>
      </c>
      <c r="R10" s="49">
        <v>0</v>
      </c>
      <c r="S10" s="50">
        <f>Table13[[#This Row],[Max amount of closed energy account debt]]-Table13[[#This Row],[Min amount of closed energy account debt]]</f>
        <v>0</v>
      </c>
      <c r="T10" s="13">
        <v>1</v>
      </c>
      <c r="U10" s="50">
        <f>AVERAGE(2100)</f>
        <v>2100</v>
      </c>
      <c r="V10" s="50">
        <f>MEDIAN(2100)</f>
        <v>2100</v>
      </c>
      <c r="W10" s="50">
        <v>2100</v>
      </c>
      <c r="X10" s="50">
        <v>2100</v>
      </c>
      <c r="Y10" s="50">
        <f>Table13[[#This Row],[Max open energy account debt amount ]]-Table13[[#This Row],[Min open electricity account debt amount ]]</f>
        <v>0</v>
      </c>
      <c r="Z10" s="46"/>
      <c r="AA10" s="51">
        <v>0</v>
      </c>
      <c r="AB10" s="48">
        <v>0</v>
      </c>
      <c r="AC10" s="47">
        <v>0</v>
      </c>
      <c r="AD10" s="48">
        <v>0</v>
      </c>
      <c r="AE10" s="51">
        <f>Table13[[#This Row],[Max gas debt amount]]-Table13[[#This Row],[Min gas debt amount]]</f>
        <v>0</v>
      </c>
      <c r="AF10" s="51"/>
      <c r="AG10" s="19">
        <v>483617</v>
      </c>
    </row>
    <row r="11" spans="1:33" ht="32" x14ac:dyDescent="0.2">
      <c r="A11" s="5" t="s">
        <v>30</v>
      </c>
      <c r="B11">
        <v>7</v>
      </c>
      <c r="C11" s="6">
        <f t="shared" si="0"/>
        <v>5.2631578947368418E-2</v>
      </c>
      <c r="D11" s="2">
        <v>0.09</v>
      </c>
      <c r="E11">
        <v>0</v>
      </c>
      <c r="F11" s="2">
        <f>Table13[[#This Row],[No. of disconnections]]/Table13[[#This Row],[Number of calls]]</f>
        <v>0</v>
      </c>
      <c r="G11">
        <v>1</v>
      </c>
      <c r="H11" s="2">
        <f>Table13[[#This Row],[No. of disconnection threats]]/Table13[[#This Row],[Number of calls]]</f>
        <v>0.14285714285714285</v>
      </c>
      <c r="I11">
        <v>2</v>
      </c>
      <c r="J11">
        <v>0</v>
      </c>
      <c r="K11" s="2">
        <f>Table13[[#This Row],[No. of unaffordable payment plans]]/Table13[[#This Row],[Number of calls]]</f>
        <v>0</v>
      </c>
      <c r="L11">
        <v>0</v>
      </c>
      <c r="M11" s="5"/>
      <c r="N11" s="5">
        <v>1</v>
      </c>
      <c r="O11" s="49">
        <v>500</v>
      </c>
      <c r="P11" s="50">
        <v>500</v>
      </c>
      <c r="Q11" s="50">
        <v>500</v>
      </c>
      <c r="R11" s="50">
        <v>500</v>
      </c>
      <c r="S11" s="50">
        <f>Table13[[#This Row],[Max amount of closed energy account debt]]-Table13[[#This Row],[Min amount of closed energy account debt]]</f>
        <v>0</v>
      </c>
      <c r="T11" s="13">
        <v>6</v>
      </c>
      <c r="U11" s="50">
        <f>AVERAGE(400,807,200,100,266)</f>
        <v>354.6</v>
      </c>
      <c r="V11" s="50">
        <f>MEDIAN(400,807,200,100,266)</f>
        <v>266</v>
      </c>
      <c r="W11" s="50">
        <v>100</v>
      </c>
      <c r="X11" s="50">
        <v>807</v>
      </c>
      <c r="Y11" s="50">
        <f>Table13[[#This Row],[Max open energy account debt amount ]]-Table13[[#This Row],[Min open electricity account debt amount ]]</f>
        <v>707</v>
      </c>
      <c r="Z11" s="14">
        <v>4</v>
      </c>
      <c r="AA11" s="48">
        <f>MEDIAN(235,400,700,500)</f>
        <v>450</v>
      </c>
      <c r="AB11" s="48">
        <f>AVERAGE(235,400,700,500)</f>
        <v>458.75</v>
      </c>
      <c r="AC11" s="47">
        <v>235</v>
      </c>
      <c r="AD11" s="48">
        <v>700</v>
      </c>
      <c r="AE11" s="51">
        <f>Table13[[#This Row],[Max gas debt amount]]-Table13[[#This Row],[Min gas debt amount]]</f>
        <v>465</v>
      </c>
      <c r="AF11" s="51"/>
      <c r="AG11" s="19" t="s">
        <v>42</v>
      </c>
    </row>
    <row r="12" spans="1:33" ht="23" customHeight="1" x14ac:dyDescent="0.2">
      <c r="A12" s="5" t="s">
        <v>24</v>
      </c>
      <c r="B12">
        <v>7</v>
      </c>
      <c r="C12" s="6">
        <f t="shared" si="0"/>
        <v>5.2631578947368418E-2</v>
      </c>
      <c r="D12" s="2">
        <v>0.09</v>
      </c>
      <c r="E12">
        <v>0</v>
      </c>
      <c r="F12" s="2">
        <f>Table13[[#This Row],[No. of disconnections]]/Table13[[#This Row],[Number of calls]]</f>
        <v>0</v>
      </c>
      <c r="G12">
        <v>0</v>
      </c>
      <c r="H12" s="2">
        <f>Table13[[#This Row],[No. of disconnection threats]]/Table13[[#This Row],[Number of calls]]</f>
        <v>0</v>
      </c>
      <c r="I12">
        <v>0</v>
      </c>
      <c r="J12">
        <v>0</v>
      </c>
      <c r="K12" s="2">
        <f>Table13[[#This Row],[No. of unaffordable payment plans]]/Table13[[#This Row],[Number of calls]]</f>
        <v>0</v>
      </c>
      <c r="L12">
        <v>0</v>
      </c>
      <c r="M12" s="5"/>
      <c r="N12" s="5"/>
      <c r="O12" s="49">
        <v>868</v>
      </c>
      <c r="P12" s="50">
        <v>868</v>
      </c>
      <c r="Q12" s="50">
        <v>868</v>
      </c>
      <c r="R12" s="50">
        <v>868</v>
      </c>
      <c r="S12" s="50">
        <f>Table13[[#This Row],[Max amount of closed energy account debt]]-Table13[[#This Row],[Min amount of closed energy account debt]]</f>
        <v>0</v>
      </c>
      <c r="T12" s="13">
        <v>6</v>
      </c>
      <c r="U12" s="50">
        <f>AVERAGE(500,250,400,345,125)</f>
        <v>324</v>
      </c>
      <c r="V12" s="50">
        <f>MEDIAN(500,250,400,345,125)</f>
        <v>345</v>
      </c>
      <c r="W12" s="50">
        <v>125</v>
      </c>
      <c r="X12" s="50">
        <v>500</v>
      </c>
      <c r="Y12" s="50">
        <f>Table13[[#This Row],[Max open energy account debt amount ]]-Table13[[#This Row],[Min open electricity account debt amount ]]</f>
        <v>375</v>
      </c>
      <c r="Z12" s="14">
        <v>4</v>
      </c>
      <c r="AA12" s="48">
        <f>MEDIAN(750,412)</f>
        <v>581</v>
      </c>
      <c r="AB12" s="48">
        <f>AVERAGE(750,412)</f>
        <v>581</v>
      </c>
      <c r="AC12" s="47">
        <v>412</v>
      </c>
      <c r="AD12" s="48">
        <v>750</v>
      </c>
      <c r="AE12" s="51">
        <f>Table13[[#This Row],[Max gas debt amount]]-Table13[[#This Row],[Min gas debt amount]]</f>
        <v>338</v>
      </c>
      <c r="AF12" s="51"/>
      <c r="AG12" s="19" t="s">
        <v>140</v>
      </c>
    </row>
    <row r="13" spans="1:33" s="15" customFormat="1" x14ac:dyDescent="0.2">
      <c r="A13" s="5" t="s">
        <v>31</v>
      </c>
      <c r="B13" s="5">
        <v>1</v>
      </c>
      <c r="C13" s="18">
        <f t="shared" si="0"/>
        <v>7.5187969924812026E-3</v>
      </c>
      <c r="D13" s="18">
        <v>0.01</v>
      </c>
      <c r="E13" s="5">
        <v>0</v>
      </c>
      <c r="F13" s="6">
        <f>Table13[[#This Row],[No. of disconnections]]/Table13[[#This Row],[Number of calls]]</f>
        <v>0</v>
      </c>
      <c r="G13" s="5">
        <v>0</v>
      </c>
      <c r="H13" s="6">
        <f>Table13[[#This Row],[No. of disconnection threats]]/Table13[[#This Row],[Number of calls]]</f>
        <v>0</v>
      </c>
      <c r="I13" s="5">
        <v>0</v>
      </c>
      <c r="J13" s="5">
        <v>0</v>
      </c>
      <c r="K13" s="6">
        <f>Table13[[#This Row],[No. of unaffordable payment plans]]/Table13[[#This Row],[Number of calls]]</f>
        <v>0</v>
      </c>
      <c r="L13" s="5">
        <v>0</v>
      </c>
      <c r="M13" s="5"/>
      <c r="N13" s="5">
        <v>1</v>
      </c>
      <c r="O13" s="49">
        <v>600</v>
      </c>
      <c r="P13" s="50">
        <f>AVERAGE(600)</f>
        <v>600</v>
      </c>
      <c r="Q13" s="50">
        <v>600</v>
      </c>
      <c r="R13" s="50">
        <v>600</v>
      </c>
      <c r="S13" s="50">
        <f>Table13[[#This Row],[Max amount of closed energy account debt]]-Table13[[#This Row],[Min amount of closed energy account debt]]</f>
        <v>0</v>
      </c>
      <c r="T13" s="46">
        <v>0</v>
      </c>
      <c r="U13" s="50">
        <v>0</v>
      </c>
      <c r="V13" s="52">
        <v>0</v>
      </c>
      <c r="W13" s="50">
        <v>0</v>
      </c>
      <c r="X13" s="50">
        <v>0</v>
      </c>
      <c r="Y13" s="50">
        <f>Table13[[#This Row],[Max open energy account debt amount ]]-Table13[[#This Row],[Min open electricity account debt amount ]]</f>
        <v>0</v>
      </c>
      <c r="Z13" s="46"/>
      <c r="AA13" s="50">
        <v>0</v>
      </c>
      <c r="AB13" s="50">
        <v>0</v>
      </c>
      <c r="AC13" s="49">
        <v>0</v>
      </c>
      <c r="AD13" s="50">
        <v>0</v>
      </c>
      <c r="AE13" s="53">
        <f>Table13[[#This Row],[Max gas debt amount]]-Table13[[#This Row],[Min gas debt amount]]</f>
        <v>0</v>
      </c>
      <c r="AF13" s="53"/>
      <c r="AG13" s="20">
        <v>486605</v>
      </c>
    </row>
    <row r="14" spans="1:33" s="15" customFormat="1" x14ac:dyDescent="0.2">
      <c r="A14" s="5" t="s">
        <v>35</v>
      </c>
      <c r="B14" s="5">
        <v>1</v>
      </c>
      <c r="C14" s="6">
        <f t="shared" si="0"/>
        <v>7.5187969924812026E-3</v>
      </c>
      <c r="D14" s="6">
        <v>0.02</v>
      </c>
      <c r="E14" s="5">
        <v>0</v>
      </c>
      <c r="F14" s="6">
        <f>Table13[[#This Row],[No. of disconnections]]/Table13[[#This Row],[Number of calls]]</f>
        <v>0</v>
      </c>
      <c r="G14" s="5">
        <v>0</v>
      </c>
      <c r="H14" s="6">
        <f>Table13[[#This Row],[No. of disconnection threats]]/Table13[[#This Row],[Number of calls]]</f>
        <v>0</v>
      </c>
      <c r="I14" s="5">
        <v>0</v>
      </c>
      <c r="J14" s="5">
        <v>0</v>
      </c>
      <c r="K14" s="6">
        <f>Table13[[#This Row],[No. of unaffordable payment plans]]/Table13[[#This Row],[Number of calls]]</f>
        <v>0</v>
      </c>
      <c r="L14" s="5">
        <v>0</v>
      </c>
      <c r="M14" s="5"/>
      <c r="N14" s="46"/>
      <c r="O14" s="49">
        <v>0</v>
      </c>
      <c r="P14" s="49">
        <v>0</v>
      </c>
      <c r="Q14" s="49">
        <v>0</v>
      </c>
      <c r="R14" s="49">
        <v>0</v>
      </c>
      <c r="S14" s="50">
        <f>Table13[[#This Row],[Max amount of closed energy account debt]]-Table13[[#This Row],[Min amount of closed energy account debt]]</f>
        <v>0</v>
      </c>
      <c r="T14" s="13">
        <v>1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46"/>
      <c r="AA14" s="50">
        <v>0</v>
      </c>
      <c r="AB14" s="50">
        <v>0</v>
      </c>
      <c r="AC14" s="49">
        <v>0</v>
      </c>
      <c r="AD14" s="50">
        <v>0</v>
      </c>
      <c r="AE14" s="51">
        <f>Table13[[#This Row],[Max gas debt amount]]-Table13[[#This Row],[Min gas debt amount]]</f>
        <v>0</v>
      </c>
      <c r="AF14" s="51"/>
      <c r="AG14" s="20">
        <v>500977</v>
      </c>
    </row>
    <row r="15" spans="1:33" s="15" customFormat="1" x14ac:dyDescent="0.2">
      <c r="A15" s="5" t="s">
        <v>36</v>
      </c>
      <c r="B15" s="5">
        <v>34</v>
      </c>
      <c r="C15" s="18">
        <f t="shared" si="0"/>
        <v>0.25563909774436089</v>
      </c>
      <c r="D15" s="18" t="s">
        <v>118</v>
      </c>
      <c r="E15" s="5">
        <v>0</v>
      </c>
      <c r="F15" s="6">
        <f>Table13[[#This Row],[No. of disconnections]]/Table13[[#This Row],[Number of calls]]</f>
        <v>0</v>
      </c>
      <c r="G15" s="5">
        <v>0</v>
      </c>
      <c r="H15" s="6">
        <f>Table13[[#This Row],[No. of disconnection threats]]/Table13[[#This Row],[Number of calls]]</f>
        <v>0</v>
      </c>
      <c r="I15" s="5">
        <v>0</v>
      </c>
      <c r="J15" s="5">
        <v>0</v>
      </c>
      <c r="K15" s="6">
        <f>Table13[[#This Row],[No. of unaffordable payment plans]]/Table13[[#This Row],[Number of calls]]</f>
        <v>0</v>
      </c>
      <c r="L15" s="5">
        <v>2</v>
      </c>
      <c r="M15" s="5">
        <v>1</v>
      </c>
      <c r="N15" s="5">
        <v>4</v>
      </c>
      <c r="O15" s="49">
        <f>MEDIAN(1000,2250)</f>
        <v>1625</v>
      </c>
      <c r="P15" s="49">
        <f>AVERAGE(1000,2250)</f>
        <v>1625</v>
      </c>
      <c r="Q15" s="50">
        <v>1000</v>
      </c>
      <c r="R15" s="50">
        <v>2250</v>
      </c>
      <c r="S15" s="50">
        <f>Table13[[#This Row],[Max amount of closed energy account debt]]-Table13[[#This Row],[Min amount of closed energy account debt]]</f>
        <v>1250</v>
      </c>
      <c r="T15" s="13">
        <v>29</v>
      </c>
      <c r="U15" s="50">
        <f>AVERAGE(1100,1300,6000,1000,500,1000,1000,1600,5000,650,250,600,1000,1250,205,220)</f>
        <v>1417.1875</v>
      </c>
      <c r="V15" s="50">
        <f>MEDIAN(1100,1300,6000,1000,500,1000,1000,1600,5000,650,250,600,1000,1250,205,220)</f>
        <v>1000</v>
      </c>
      <c r="W15" s="50">
        <v>205</v>
      </c>
      <c r="X15" s="50">
        <v>6000</v>
      </c>
      <c r="Y15" s="50">
        <f>Table13[[#This Row],[Max open energy account debt amount ]]-Table13[[#This Row],[Min open electricity account debt amount ]]</f>
        <v>5795</v>
      </c>
      <c r="Z15" s="13">
        <v>12</v>
      </c>
      <c r="AA15" s="50">
        <f>MEDIAN(800,500,1000,1000,158,392,650,1250,1300,811,160)</f>
        <v>800</v>
      </c>
      <c r="AB15" s="50">
        <f>AVERAGE(800,500,1000,1000,158,392,650,1250,1300,811,160)</f>
        <v>729.18181818181813</v>
      </c>
      <c r="AC15" s="49">
        <v>158</v>
      </c>
      <c r="AD15" s="50">
        <v>1300</v>
      </c>
      <c r="AE15" s="51">
        <f>Table13[[#This Row],[Max gas debt amount]]-Table13[[#This Row],[Min gas debt amount]]</f>
        <v>1142</v>
      </c>
      <c r="AF15" s="51"/>
      <c r="AG15" s="20"/>
    </row>
    <row r="16" spans="1:33" s="16" customFormat="1" ht="16" x14ac:dyDescent="0.2">
      <c r="B16" s="16">
        <f>SUM(B2:B15)</f>
        <v>133</v>
      </c>
      <c r="D16" s="16" t="s">
        <v>118</v>
      </c>
      <c r="E16" s="16">
        <f t="shared" ref="E16:G16" si="6">SUM(E2:E15)</f>
        <v>2</v>
      </c>
      <c r="G16" s="16">
        <f t="shared" si="6"/>
        <v>7</v>
      </c>
      <c r="I16" s="16">
        <f t="shared" ref="I16" si="7">SUM(I2:I15)</f>
        <v>17</v>
      </c>
      <c r="J16" s="16">
        <f t="shared" ref="J16" si="8">SUM(J2:J15)</f>
        <v>19</v>
      </c>
      <c r="L16" s="16">
        <f t="shared" ref="L16" si="9">SUM(L2:L15)</f>
        <v>18</v>
      </c>
      <c r="M16" s="75">
        <f t="shared" ref="M16" si="10">SUM(M2:M15)</f>
        <v>9</v>
      </c>
      <c r="N16" s="75">
        <f t="shared" ref="N16" si="11">SUM(N2:N15)</f>
        <v>14</v>
      </c>
      <c r="O16" s="75"/>
      <c r="P16" s="76"/>
      <c r="Q16" s="76"/>
      <c r="R16" s="76"/>
      <c r="S16" s="76"/>
      <c r="T16" s="77">
        <f>SUM(Table13[No. calls with open electricity account debt noted])</f>
        <v>116</v>
      </c>
      <c r="U16" s="75"/>
      <c r="V16" s="75"/>
      <c r="W16" s="76"/>
      <c r="X16" s="76"/>
      <c r="Y16" s="76"/>
      <c r="Z16" s="78">
        <f>SUM(Table13[No. calls with gas debt])</f>
        <v>59</v>
      </c>
      <c r="AA16" s="17"/>
      <c r="AB16" s="17"/>
      <c r="AD16" s="17"/>
      <c r="AE16" s="17"/>
      <c r="AF16" s="17"/>
      <c r="AG16" s="1"/>
    </row>
    <row r="19" spans="1:38" x14ac:dyDescent="0.2">
      <c r="A19" s="16"/>
    </row>
    <row r="20" spans="1:38" x14ac:dyDescent="0.2"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</row>
    <row r="21" spans="1:38" x14ac:dyDescent="0.2">
      <c r="S21" s="107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">
      <c r="S22" s="107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">
      <c r="S23" s="107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2">
      <c r="S24" s="107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">
      <c r="S25" s="107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">
      <c r="S26" s="107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S27" s="107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S28" s="107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">
      <c r="S29" s="107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">
      <c r="S30" s="107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">
      <c r="S31" s="107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">
      <c r="S32" s="107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9:38" x14ac:dyDescent="0.2">
      <c r="S33" s="107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9:38" x14ac:dyDescent="0.2">
      <c r="S34" s="107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9:38" x14ac:dyDescent="0.2">
      <c r="S35" s="10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9:38" x14ac:dyDescent="0.2">
      <c r="S36" s="106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</row>
  </sheetData>
  <phoneticPr fontId="9" type="noConversion"/>
  <pageMargins left="0.7" right="0.7" top="0.75" bottom="0.75" header="0.3" footer="0.3"/>
  <pageSetup paperSize="9" orientation="portrait" r:id="rId1"/>
  <ignoredErrors>
    <ignoredError sqref="U2 U3:U14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46BE-399A-1745-96D2-D1DC73332531}">
  <dimension ref="A1:D19"/>
  <sheetViews>
    <sheetView workbookViewId="0">
      <selection activeCell="E39" sqref="E39"/>
    </sheetView>
  </sheetViews>
  <sheetFormatPr baseColWidth="10" defaultColWidth="8.6640625" defaultRowHeight="15" x14ac:dyDescent="0.2"/>
  <cols>
    <col min="1" max="1" width="9.33203125" bestFit="1" customWidth="1"/>
    <col min="2" max="2" width="35.33203125" customWidth="1"/>
    <col min="3" max="3" width="35.6640625" customWidth="1"/>
    <col min="4" max="4" width="22.5" customWidth="1"/>
  </cols>
  <sheetData>
    <row r="1" spans="1:4" ht="21" customHeight="1" x14ac:dyDescent="0.2">
      <c r="A1" s="22" t="s">
        <v>44</v>
      </c>
      <c r="B1" s="55" t="s">
        <v>60</v>
      </c>
      <c r="C1" s="25" t="s">
        <v>61</v>
      </c>
      <c r="D1" s="26" t="s">
        <v>62</v>
      </c>
    </row>
    <row r="2" spans="1:4" x14ac:dyDescent="0.2">
      <c r="A2" s="23">
        <v>43647</v>
      </c>
      <c r="B2" s="27">
        <v>1000</v>
      </c>
      <c r="C2" s="27">
        <f>MEDIAN(500,1100,2100)</f>
        <v>1100</v>
      </c>
      <c r="D2" s="27">
        <v>0</v>
      </c>
    </row>
    <row r="3" spans="1:4" x14ac:dyDescent="0.2">
      <c r="A3" s="23">
        <v>43678</v>
      </c>
      <c r="B3" s="27">
        <v>1500</v>
      </c>
      <c r="C3" s="27">
        <f>MEDIAN(250,3000)</f>
        <v>1625</v>
      </c>
      <c r="D3" s="27">
        <v>1225</v>
      </c>
    </row>
    <row r="4" spans="1:4" x14ac:dyDescent="0.2">
      <c r="A4" s="23">
        <v>43709</v>
      </c>
      <c r="B4" s="27">
        <f>MEDIAN(280,400,1500)</f>
        <v>400</v>
      </c>
      <c r="C4" s="27">
        <f>MEDIAN(250,400,1300)</f>
        <v>400</v>
      </c>
      <c r="D4" s="27">
        <f>MEDIAN(400,250,750,200)</f>
        <v>325</v>
      </c>
    </row>
    <row r="5" spans="1:4" x14ac:dyDescent="0.2">
      <c r="A5" s="23">
        <v>43739</v>
      </c>
      <c r="B5" s="27">
        <v>0</v>
      </c>
      <c r="C5" s="27">
        <f>MEDIAN(400,800,1600)</f>
        <v>800</v>
      </c>
      <c r="D5" s="27">
        <f>MEDIAN(400,800,1600)</f>
        <v>800</v>
      </c>
    </row>
    <row r="6" spans="1:4" x14ac:dyDescent="0.2">
      <c r="A6" s="23">
        <v>43770</v>
      </c>
      <c r="B6" s="27">
        <v>0</v>
      </c>
      <c r="C6" s="27">
        <f>MEDIAN(300,400,759,1200,1400,2000,1737,5000,6000)</f>
        <v>1400</v>
      </c>
      <c r="D6" s="27">
        <f>MEDIAN(400,3000,500,900)</f>
        <v>700</v>
      </c>
    </row>
    <row r="7" spans="1:4" x14ac:dyDescent="0.2">
      <c r="A7" s="23">
        <v>43800</v>
      </c>
      <c r="B7" s="27">
        <v>495</v>
      </c>
      <c r="C7" s="27">
        <f>MEDIAN(300,371,800,1200,2000,3000)</f>
        <v>1000</v>
      </c>
      <c r="D7" s="27">
        <v>2500</v>
      </c>
    </row>
    <row r="8" spans="1:4" x14ac:dyDescent="0.2">
      <c r="A8" s="23">
        <v>43831</v>
      </c>
      <c r="B8" s="27">
        <v>500</v>
      </c>
      <c r="C8" s="27">
        <f>MEDIAN(99,200,200,300,500,807,1000,1000,1700,2800)</f>
        <v>653.5</v>
      </c>
      <c r="D8" s="27">
        <f>MEDIAN(1000,500,1400,800,40,700)</f>
        <v>750</v>
      </c>
    </row>
    <row r="9" spans="1:4" x14ac:dyDescent="0.2">
      <c r="A9" s="23">
        <v>43862</v>
      </c>
      <c r="B9" s="27">
        <v>0</v>
      </c>
      <c r="C9" s="27">
        <f>MEDIAN(1228,11000,3000,500,2500,1200,100,1200,500,2500,2000,1000,1600,10808,345)</f>
        <v>1228</v>
      </c>
      <c r="D9" s="27">
        <f>MEDIAN(1339,2000,2000,750,2500,2700,1442,500,1000,14155)</f>
        <v>1721</v>
      </c>
    </row>
    <row r="10" spans="1:4" x14ac:dyDescent="0.2">
      <c r="A10" s="23">
        <v>43891</v>
      </c>
      <c r="B10" s="27">
        <v>0</v>
      </c>
      <c r="C10" s="27">
        <f>MEDIAN(83,5000)</f>
        <v>2541.5</v>
      </c>
      <c r="D10" s="27">
        <v>129</v>
      </c>
    </row>
    <row r="11" spans="1:4" x14ac:dyDescent="0.2">
      <c r="A11" s="23">
        <v>43922</v>
      </c>
      <c r="B11" s="27">
        <v>0</v>
      </c>
      <c r="C11" s="27">
        <v>686</v>
      </c>
      <c r="D11" s="27">
        <v>410</v>
      </c>
    </row>
    <row r="12" spans="1:4" x14ac:dyDescent="0.2">
      <c r="A12" s="23">
        <v>43952</v>
      </c>
      <c r="B12" s="27">
        <v>0</v>
      </c>
      <c r="C12" s="27">
        <f>MEDIAN(299,700,800)</f>
        <v>700</v>
      </c>
      <c r="D12" s="27">
        <v>0</v>
      </c>
    </row>
    <row r="13" spans="1:4" x14ac:dyDescent="0.2">
      <c r="A13" s="23">
        <v>43983</v>
      </c>
      <c r="B13" s="27">
        <v>0</v>
      </c>
      <c r="C13" s="27">
        <v>300</v>
      </c>
      <c r="D13" s="27">
        <v>100</v>
      </c>
    </row>
    <row r="14" spans="1:4" x14ac:dyDescent="0.2">
      <c r="A14" s="23">
        <v>44013</v>
      </c>
      <c r="B14" s="27">
        <v>0</v>
      </c>
      <c r="C14" s="27">
        <f>MEDIAN(1000,350,650,250)</f>
        <v>500</v>
      </c>
      <c r="D14" s="27">
        <v>0</v>
      </c>
    </row>
    <row r="15" spans="1:4" x14ac:dyDescent="0.2">
      <c r="A15" s="23">
        <v>44044</v>
      </c>
      <c r="B15" s="27">
        <v>4500</v>
      </c>
      <c r="C15" s="27">
        <f>MEDIAN(1050,600,450,400)</f>
        <v>525</v>
      </c>
      <c r="D15" s="27">
        <f>MEDIAN(350,500,600)</f>
        <v>500</v>
      </c>
    </row>
    <row r="16" spans="1:4" x14ac:dyDescent="0.2">
      <c r="A16" s="23">
        <v>44075</v>
      </c>
      <c r="B16" s="27">
        <v>340</v>
      </c>
      <c r="C16" s="27">
        <f>MEDIAN(800,600,1200,1000,2500,125)</f>
        <v>900</v>
      </c>
      <c r="D16" s="27">
        <f>MEDIAN(158,800,392,650,412)</f>
        <v>412</v>
      </c>
    </row>
    <row r="17" spans="1:4" x14ac:dyDescent="0.2">
      <c r="A17" s="23">
        <v>44105</v>
      </c>
      <c r="B17" s="27">
        <v>600</v>
      </c>
      <c r="C17" s="27">
        <f>MEDIAN(228,4000,6000)</f>
        <v>4000</v>
      </c>
      <c r="D17" s="27">
        <f>MEDIAN(1300,2000)</f>
        <v>1650</v>
      </c>
    </row>
    <row r="18" spans="1:4" x14ac:dyDescent="0.2">
      <c r="A18" s="23">
        <v>44136</v>
      </c>
      <c r="B18" s="27">
        <v>0</v>
      </c>
      <c r="C18" s="27">
        <f>MEDIAN(500,850,2000,205,1000)</f>
        <v>850</v>
      </c>
      <c r="D18" s="27">
        <f>MEDIAN(18,2000,811)</f>
        <v>811</v>
      </c>
    </row>
    <row r="19" spans="1:4" x14ac:dyDescent="0.2">
      <c r="A19" s="23">
        <v>44166</v>
      </c>
      <c r="B19" s="27">
        <v>0</v>
      </c>
      <c r="C19" s="27">
        <f>MEDIAN(1300,220,3000,5000,266,9000)</f>
        <v>2150</v>
      </c>
      <c r="D19" s="27">
        <f>MEDIAN(200,160,711,2000,235,1700)</f>
        <v>473</v>
      </c>
    </row>
  </sheetData>
  <pageMargins left="0.7" right="0.7" top="0.75" bottom="0.75" header="0.3" footer="0.3"/>
  <ignoredErrors>
    <ignoredError sqref="C3:C7 C9:C11 C12:C15 C17:C19" calculatedColumn="1"/>
  </ignoredErrors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3B0A-B51A-4376-B98A-DE70B2B74BC7}">
  <dimension ref="A1:E3"/>
  <sheetViews>
    <sheetView workbookViewId="0">
      <selection activeCell="C12" sqref="C12"/>
    </sheetView>
  </sheetViews>
  <sheetFormatPr baseColWidth="10" defaultColWidth="8.6640625" defaultRowHeight="15" x14ac:dyDescent="0.2"/>
  <cols>
    <col min="2" max="2" width="31.1640625" customWidth="1"/>
    <col min="3" max="3" width="32.1640625" customWidth="1"/>
    <col min="4" max="4" width="32.33203125" customWidth="1"/>
    <col min="5" max="5" width="33.33203125" customWidth="1"/>
  </cols>
  <sheetData>
    <row r="1" spans="1:5" x14ac:dyDescent="0.2">
      <c r="A1" s="56" t="s">
        <v>55</v>
      </c>
      <c r="B1" s="56" t="s">
        <v>56</v>
      </c>
      <c r="C1" s="56" t="s">
        <v>57</v>
      </c>
      <c r="D1" s="56" t="s">
        <v>58</v>
      </c>
      <c r="E1" s="56" t="s">
        <v>59</v>
      </c>
    </row>
    <row r="2" spans="1:5" x14ac:dyDescent="0.2">
      <c r="A2" s="54">
        <v>2019</v>
      </c>
      <c r="B2" s="54">
        <v>4</v>
      </c>
      <c r="C2" s="54">
        <f>0</f>
        <v>0</v>
      </c>
      <c r="D2" s="54">
        <v>0</v>
      </c>
      <c r="E2" s="54">
        <v>0</v>
      </c>
    </row>
    <row r="3" spans="1:5" x14ac:dyDescent="0.2">
      <c r="A3" s="54">
        <v>2020</v>
      </c>
      <c r="B3" s="54">
        <v>10</v>
      </c>
      <c r="C3" s="54">
        <v>3</v>
      </c>
      <c r="D3" s="54">
        <v>1</v>
      </c>
      <c r="E3" s="54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BD69-F8BC-4B47-A456-FDD5278359B5}">
  <dimension ref="A1:I23"/>
  <sheetViews>
    <sheetView workbookViewId="0">
      <selection activeCell="M31" sqref="M31"/>
    </sheetView>
  </sheetViews>
  <sheetFormatPr baseColWidth="10" defaultColWidth="8.6640625" defaultRowHeight="15" x14ac:dyDescent="0.2"/>
  <cols>
    <col min="1" max="1" width="23.5" style="28" bestFit="1" customWidth="1"/>
    <col min="2" max="3" width="8.6640625" style="28"/>
    <col min="4" max="4" width="11.1640625" style="28" customWidth="1"/>
    <col min="5" max="5" width="8.6640625" style="28"/>
    <col min="6" max="6" width="23.5" style="28" bestFit="1" customWidth="1"/>
    <col min="7" max="16384" width="8.6640625" style="28"/>
  </cols>
  <sheetData>
    <row r="1" spans="1:9" x14ac:dyDescent="0.2">
      <c r="A1" s="29" t="s">
        <v>63</v>
      </c>
      <c r="F1" s="29" t="s">
        <v>72</v>
      </c>
    </row>
    <row r="2" spans="1:9" x14ac:dyDescent="0.2">
      <c r="A2" s="28" t="s">
        <v>64</v>
      </c>
      <c r="B2" s="28" t="s">
        <v>65</v>
      </c>
      <c r="C2" s="28" t="s">
        <v>75</v>
      </c>
      <c r="D2" s="28" t="s">
        <v>1</v>
      </c>
      <c r="F2" s="28" t="s">
        <v>64</v>
      </c>
      <c r="G2" s="28" t="s">
        <v>65</v>
      </c>
      <c r="H2" s="28" t="s">
        <v>75</v>
      </c>
      <c r="I2" s="28" t="s">
        <v>1</v>
      </c>
    </row>
    <row r="3" spans="1:9" x14ac:dyDescent="0.2">
      <c r="A3" s="28" t="s">
        <v>66</v>
      </c>
      <c r="B3" s="28">
        <v>27</v>
      </c>
      <c r="C3" s="28">
        <v>38</v>
      </c>
      <c r="D3" s="28">
        <f t="shared" ref="D3:D9" si="0">SUM(B3,C3)</f>
        <v>65</v>
      </c>
      <c r="F3" s="28" t="s">
        <v>66</v>
      </c>
      <c r="G3" s="28">
        <v>88</v>
      </c>
      <c r="H3" s="28">
        <v>140</v>
      </c>
      <c r="I3" s="28">
        <f t="shared" ref="I3:I10" si="1">SUM(G3,H3)</f>
        <v>228</v>
      </c>
    </row>
    <row r="4" spans="1:9" x14ac:dyDescent="0.2">
      <c r="A4" s="28" t="s">
        <v>67</v>
      </c>
      <c r="B4" s="28">
        <v>6</v>
      </c>
      <c r="C4" s="28">
        <v>16</v>
      </c>
      <c r="D4" s="28">
        <f t="shared" si="0"/>
        <v>22</v>
      </c>
      <c r="F4" s="28" t="s">
        <v>67</v>
      </c>
      <c r="G4" s="28">
        <v>83</v>
      </c>
      <c r="H4" s="28">
        <v>105</v>
      </c>
      <c r="I4" s="28">
        <f t="shared" si="1"/>
        <v>188</v>
      </c>
    </row>
    <row r="5" spans="1:9" x14ac:dyDescent="0.2">
      <c r="A5" s="28" t="s">
        <v>68</v>
      </c>
      <c r="B5" s="28">
        <v>4</v>
      </c>
      <c r="C5" s="28">
        <v>11</v>
      </c>
      <c r="D5" s="28">
        <f t="shared" si="0"/>
        <v>15</v>
      </c>
      <c r="F5" s="28" t="s">
        <v>68</v>
      </c>
      <c r="G5" s="28">
        <v>18</v>
      </c>
      <c r="H5" s="28">
        <v>27</v>
      </c>
      <c r="I5" s="28">
        <f t="shared" si="1"/>
        <v>45</v>
      </c>
    </row>
    <row r="6" spans="1:9" x14ac:dyDescent="0.2">
      <c r="A6" s="28" t="s">
        <v>74</v>
      </c>
      <c r="B6" s="28">
        <v>2</v>
      </c>
      <c r="C6" s="28">
        <v>23</v>
      </c>
      <c r="D6" s="28">
        <f t="shared" si="0"/>
        <v>25</v>
      </c>
      <c r="F6" s="28" t="s">
        <v>74</v>
      </c>
      <c r="G6" s="28">
        <v>99</v>
      </c>
      <c r="H6" s="28">
        <v>187</v>
      </c>
      <c r="I6" s="28">
        <f t="shared" si="1"/>
        <v>286</v>
      </c>
    </row>
    <row r="7" spans="1:9" x14ac:dyDescent="0.2">
      <c r="A7" s="28" t="s">
        <v>69</v>
      </c>
      <c r="B7" s="45">
        <v>0</v>
      </c>
      <c r="C7" s="28">
        <v>1</v>
      </c>
      <c r="D7" s="28">
        <f t="shared" si="0"/>
        <v>1</v>
      </c>
      <c r="F7" s="28" t="s">
        <v>69</v>
      </c>
      <c r="G7" s="28">
        <v>6</v>
      </c>
      <c r="H7" s="28">
        <v>8</v>
      </c>
      <c r="I7" s="28">
        <f t="shared" si="1"/>
        <v>14</v>
      </c>
    </row>
    <row r="8" spans="1:9" x14ac:dyDescent="0.2">
      <c r="A8" s="28" t="s">
        <v>70</v>
      </c>
      <c r="B8" s="28">
        <v>3</v>
      </c>
      <c r="C8" s="28">
        <v>1</v>
      </c>
      <c r="D8" s="28">
        <f t="shared" si="0"/>
        <v>4</v>
      </c>
      <c r="F8" s="28" t="s">
        <v>70</v>
      </c>
      <c r="G8" s="28">
        <v>7</v>
      </c>
      <c r="H8" s="28">
        <v>2</v>
      </c>
      <c r="I8" s="28">
        <f t="shared" si="1"/>
        <v>9</v>
      </c>
    </row>
    <row r="9" spans="1:9" x14ac:dyDescent="0.2">
      <c r="A9" s="28" t="s">
        <v>73</v>
      </c>
      <c r="B9" s="45">
        <v>0</v>
      </c>
      <c r="C9" s="28">
        <v>1</v>
      </c>
      <c r="D9" s="28">
        <f t="shared" si="0"/>
        <v>1</v>
      </c>
      <c r="F9" s="28" t="s">
        <v>73</v>
      </c>
      <c r="G9" s="28">
        <v>6</v>
      </c>
      <c r="H9" s="28">
        <v>27</v>
      </c>
      <c r="I9" s="28">
        <f t="shared" si="1"/>
        <v>33</v>
      </c>
    </row>
    <row r="10" spans="1:9" x14ac:dyDescent="0.2">
      <c r="A10" s="28" t="s">
        <v>71</v>
      </c>
      <c r="B10" s="45">
        <v>0</v>
      </c>
      <c r="C10" s="45">
        <v>0</v>
      </c>
      <c r="D10" s="45">
        <v>0</v>
      </c>
      <c r="F10" s="28" t="s">
        <v>71</v>
      </c>
      <c r="G10" s="28">
        <v>4</v>
      </c>
      <c r="H10" s="28">
        <v>1</v>
      </c>
      <c r="I10" s="28">
        <f t="shared" si="1"/>
        <v>5</v>
      </c>
    </row>
    <row r="11" spans="1:9" x14ac:dyDescent="0.2">
      <c r="A11" s="39" t="s">
        <v>1</v>
      </c>
      <c r="B11" s="39">
        <f>SUM(B3:B10)</f>
        <v>42</v>
      </c>
      <c r="C11" s="39">
        <f>SUM(C3:C10)</f>
        <v>91</v>
      </c>
      <c r="D11" s="39">
        <f>SUM(B11,C11)</f>
        <v>133</v>
      </c>
      <c r="F11" s="39" t="s">
        <v>1</v>
      </c>
      <c r="G11" s="39">
        <f>SUM(G3:G10)</f>
        <v>311</v>
      </c>
      <c r="H11" s="39">
        <f>SUM(H3:H10)</f>
        <v>497</v>
      </c>
      <c r="I11" s="39">
        <f>SUM(G11,H11)</f>
        <v>808</v>
      </c>
    </row>
    <row r="13" spans="1:9" x14ac:dyDescent="0.2">
      <c r="A13" s="29" t="s">
        <v>88</v>
      </c>
      <c r="F13" s="29" t="s">
        <v>89</v>
      </c>
    </row>
    <row r="14" spans="1:9" x14ac:dyDescent="0.2">
      <c r="A14" s="28" t="s">
        <v>64</v>
      </c>
      <c r="B14" s="28" t="s">
        <v>65</v>
      </c>
      <c r="C14" s="28" t="s">
        <v>75</v>
      </c>
      <c r="D14" s="28" t="s">
        <v>185</v>
      </c>
      <c r="F14" s="28" t="s">
        <v>64</v>
      </c>
      <c r="G14" s="28" t="s">
        <v>65</v>
      </c>
      <c r="H14" s="28" t="s">
        <v>75</v>
      </c>
      <c r="I14" s="28" t="s">
        <v>186</v>
      </c>
    </row>
    <row r="15" spans="1:9" x14ac:dyDescent="0.2">
      <c r="A15" s="28" t="s">
        <v>66</v>
      </c>
      <c r="B15" s="30">
        <f>27/42</f>
        <v>0.6428571428571429</v>
      </c>
      <c r="C15" s="30">
        <f>38/91</f>
        <v>0.4175824175824176</v>
      </c>
      <c r="D15" s="30">
        <f>65/133</f>
        <v>0.48872180451127817</v>
      </c>
      <c r="F15" s="28" t="s">
        <v>66</v>
      </c>
      <c r="G15" s="30">
        <f>88/311</f>
        <v>0.28295819935691319</v>
      </c>
      <c r="H15" s="30">
        <f>140/497</f>
        <v>0.28169014084507044</v>
      </c>
      <c r="I15" s="30">
        <f>228/808</f>
        <v>0.28217821782178215</v>
      </c>
    </row>
    <row r="16" spans="1:9" x14ac:dyDescent="0.2">
      <c r="A16" s="28" t="s">
        <v>67</v>
      </c>
      <c r="B16" s="30">
        <f>6/42</f>
        <v>0.14285714285714285</v>
      </c>
      <c r="C16" s="30">
        <f>16/91</f>
        <v>0.17582417582417584</v>
      </c>
      <c r="D16" s="30">
        <f>22/133</f>
        <v>0.16541353383458646</v>
      </c>
      <c r="F16" s="28" t="s">
        <v>67</v>
      </c>
      <c r="G16" s="30">
        <f>83/311</f>
        <v>0.26688102893890675</v>
      </c>
      <c r="H16" s="30">
        <f>105/497</f>
        <v>0.21126760563380281</v>
      </c>
      <c r="I16" s="30">
        <f>188/808</f>
        <v>0.23267326732673269</v>
      </c>
    </row>
    <row r="17" spans="1:9" x14ac:dyDescent="0.2">
      <c r="A17" s="28" t="s">
        <v>68</v>
      </c>
      <c r="B17" s="30">
        <f>4/42</f>
        <v>9.5238095238095233E-2</v>
      </c>
      <c r="C17" s="30">
        <f>11/91</f>
        <v>0.12087912087912088</v>
      </c>
      <c r="D17" s="30">
        <f>15/133</f>
        <v>0.11278195488721804</v>
      </c>
      <c r="F17" s="28" t="s">
        <v>68</v>
      </c>
      <c r="G17" s="30">
        <f>18/311</f>
        <v>5.7877813504823149E-2</v>
      </c>
      <c r="H17" s="30">
        <f>27/497</f>
        <v>5.4325955734406441E-2</v>
      </c>
      <c r="I17" s="30">
        <f>45/808</f>
        <v>5.5693069306930694E-2</v>
      </c>
    </row>
    <row r="18" spans="1:9" x14ac:dyDescent="0.2">
      <c r="A18" s="28" t="s">
        <v>74</v>
      </c>
      <c r="B18" s="30">
        <f>2/42</f>
        <v>4.7619047619047616E-2</v>
      </c>
      <c r="C18" s="30">
        <f>23/91</f>
        <v>0.25274725274725274</v>
      </c>
      <c r="D18" s="30">
        <f>25/133</f>
        <v>0.18796992481203006</v>
      </c>
      <c r="F18" s="28" t="s">
        <v>74</v>
      </c>
      <c r="G18" s="30">
        <f>99/311</f>
        <v>0.31832797427652731</v>
      </c>
      <c r="H18" s="30">
        <f>187/497</f>
        <v>0.3762575452716298</v>
      </c>
      <c r="I18" s="30">
        <f>286/808</f>
        <v>0.35396039603960394</v>
      </c>
    </row>
    <row r="19" spans="1:9" x14ac:dyDescent="0.2">
      <c r="A19" s="28" t="s">
        <v>69</v>
      </c>
      <c r="B19" s="30">
        <f>0/42</f>
        <v>0</v>
      </c>
      <c r="C19" s="30">
        <f>1/91</f>
        <v>1.098901098901099E-2</v>
      </c>
      <c r="D19" s="30">
        <f>1/133</f>
        <v>7.5187969924812026E-3</v>
      </c>
      <c r="F19" s="28" t="s">
        <v>69</v>
      </c>
      <c r="G19" s="30">
        <f>6/311</f>
        <v>1.9292604501607719E-2</v>
      </c>
      <c r="H19" s="30">
        <f>8/497</f>
        <v>1.6096579476861168E-2</v>
      </c>
      <c r="I19" s="30">
        <f>14/808</f>
        <v>1.7326732673267328E-2</v>
      </c>
    </row>
    <row r="20" spans="1:9" x14ac:dyDescent="0.2">
      <c r="A20" s="28" t="s">
        <v>70</v>
      </c>
      <c r="B20" s="30">
        <f>3/42</f>
        <v>7.1428571428571425E-2</v>
      </c>
      <c r="C20" s="30">
        <f>1/91</f>
        <v>1.098901098901099E-2</v>
      </c>
      <c r="D20" s="30">
        <f>4/133</f>
        <v>3.007518796992481E-2</v>
      </c>
      <c r="F20" s="28" t="s">
        <v>70</v>
      </c>
      <c r="G20" s="30">
        <f>7/311</f>
        <v>2.2508038585209004E-2</v>
      </c>
      <c r="H20" s="30">
        <f>2/497</f>
        <v>4.0241448692152921E-3</v>
      </c>
      <c r="I20" s="30">
        <f>9/808</f>
        <v>1.1138613861386138E-2</v>
      </c>
    </row>
    <row r="21" spans="1:9" x14ac:dyDescent="0.2">
      <c r="A21" s="28" t="s">
        <v>73</v>
      </c>
      <c r="B21" s="30">
        <f>0/42</f>
        <v>0</v>
      </c>
      <c r="C21" s="30">
        <f>1/91</f>
        <v>1.098901098901099E-2</v>
      </c>
      <c r="D21" s="30">
        <f>1/133</f>
        <v>7.5187969924812026E-3</v>
      </c>
      <c r="F21" s="28" t="s">
        <v>73</v>
      </c>
      <c r="G21" s="30">
        <f>6/311</f>
        <v>1.9292604501607719E-2</v>
      </c>
      <c r="H21" s="30">
        <f>27/497</f>
        <v>5.4325955734406441E-2</v>
      </c>
      <c r="I21" s="30">
        <f>33/808</f>
        <v>4.0841584158415843E-2</v>
      </c>
    </row>
    <row r="22" spans="1:9" x14ac:dyDescent="0.2">
      <c r="A22" s="28" t="s">
        <v>71</v>
      </c>
      <c r="B22" s="30">
        <f>0/42</f>
        <v>0</v>
      </c>
      <c r="C22" s="30">
        <f>0/91</f>
        <v>0</v>
      </c>
      <c r="D22" s="30">
        <f>0/133</f>
        <v>0</v>
      </c>
      <c r="F22" s="28" t="s">
        <v>71</v>
      </c>
      <c r="G22" s="30">
        <f>4/311</f>
        <v>1.2861736334405145E-2</v>
      </c>
      <c r="H22" s="30">
        <f>1/497</f>
        <v>2.012072434607646E-3</v>
      </c>
      <c r="I22" s="30">
        <f>5/808</f>
        <v>6.1881188118811884E-3</v>
      </c>
    </row>
    <row r="23" spans="1:9" x14ac:dyDescent="0.2">
      <c r="A23" s="39" t="s">
        <v>1</v>
      </c>
      <c r="B23" s="40">
        <f>SUM(B15:B22)</f>
        <v>1</v>
      </c>
      <c r="C23" s="40">
        <f>SUM(C15:C22)</f>
        <v>0.99999999999999989</v>
      </c>
      <c r="D23" s="40">
        <f>SUM(D15:D22)</f>
        <v>1</v>
      </c>
      <c r="F23" s="39" t="s">
        <v>1</v>
      </c>
      <c r="G23" s="40">
        <f>SUM(G15:G22)</f>
        <v>1.0000000000000002</v>
      </c>
      <c r="H23" s="40">
        <f>SUM(H15:H22)</f>
        <v>1</v>
      </c>
      <c r="I23" s="40">
        <f>SUM(I15:I22)</f>
        <v>1</v>
      </c>
    </row>
  </sheetData>
  <pageMargins left="0.7" right="0.7" top="0.75" bottom="0.75" header="0.3" footer="0.3"/>
  <ignoredErrors>
    <ignoredError sqref="D3:D9 B11:C11 B15:D19 B21:D23 C20 G15:I19 G21:I23 H20:I20 G3:I11 D11" unlockedFormula="1"/>
    <ignoredError sqref="B20 D20 G20" formula="1" unlockedFormula="1"/>
  </ignoredErrors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1454-0D61-854D-8D9C-C0374B8C1D2C}">
  <dimension ref="A1:I21"/>
  <sheetViews>
    <sheetView workbookViewId="0">
      <selection activeCell="D19" sqref="D19"/>
    </sheetView>
  </sheetViews>
  <sheetFormatPr baseColWidth="10" defaultColWidth="11.5" defaultRowHeight="15" x14ac:dyDescent="0.2"/>
  <cols>
    <col min="1" max="1" width="28.5" customWidth="1"/>
    <col min="6" max="6" width="29.5" customWidth="1"/>
  </cols>
  <sheetData>
    <row r="1" spans="1:9" x14ac:dyDescent="0.2">
      <c r="A1" s="1" t="s">
        <v>87</v>
      </c>
      <c r="F1" s="1" t="s">
        <v>84</v>
      </c>
    </row>
    <row r="2" spans="1:9" x14ac:dyDescent="0.2">
      <c r="A2" t="s">
        <v>83</v>
      </c>
      <c r="B2" t="s">
        <v>65</v>
      </c>
      <c r="C2" t="s">
        <v>75</v>
      </c>
      <c r="D2" t="s">
        <v>1</v>
      </c>
      <c r="F2" t="s">
        <v>83</v>
      </c>
      <c r="G2" t="s">
        <v>65</v>
      </c>
      <c r="H2" t="s">
        <v>75</v>
      </c>
      <c r="I2" t="s">
        <v>1</v>
      </c>
    </row>
    <row r="3" spans="1:9" x14ac:dyDescent="0.2">
      <c r="A3" s="31" t="s">
        <v>76</v>
      </c>
      <c r="B3" s="24">
        <v>7</v>
      </c>
      <c r="C3" s="24">
        <v>18</v>
      </c>
      <c r="D3" s="34">
        <f>SUM(B3:C3)</f>
        <v>25</v>
      </c>
      <c r="F3" s="31" t="s">
        <v>76</v>
      </c>
      <c r="G3" s="24">
        <v>45</v>
      </c>
      <c r="H3" s="24">
        <v>69</v>
      </c>
      <c r="I3" s="24">
        <f>SUM(G3:H3)</f>
        <v>114</v>
      </c>
    </row>
    <row r="4" spans="1:9" x14ac:dyDescent="0.2">
      <c r="A4" s="31" t="s">
        <v>77</v>
      </c>
      <c r="B4" s="24">
        <v>4</v>
      </c>
      <c r="C4" s="24">
        <v>11</v>
      </c>
      <c r="D4" s="34">
        <f t="shared" ref="D4:D9" si="0">SUM(B4:C4)</f>
        <v>15</v>
      </c>
      <c r="F4" s="31" t="s">
        <v>77</v>
      </c>
      <c r="G4" s="24">
        <v>38</v>
      </c>
      <c r="H4" s="24">
        <v>56</v>
      </c>
      <c r="I4" s="24">
        <f t="shared" ref="I4:I10" si="1">SUM(G4:H4)</f>
        <v>94</v>
      </c>
    </row>
    <row r="5" spans="1:9" x14ac:dyDescent="0.2">
      <c r="A5" s="31" t="s">
        <v>78</v>
      </c>
      <c r="B5" s="24">
        <v>2</v>
      </c>
      <c r="C5" s="24">
        <v>8</v>
      </c>
      <c r="D5" s="34">
        <f t="shared" si="0"/>
        <v>10</v>
      </c>
      <c r="F5" s="31" t="s">
        <v>78</v>
      </c>
      <c r="G5" s="24">
        <v>18</v>
      </c>
      <c r="H5" s="24">
        <v>40</v>
      </c>
      <c r="I5" s="24">
        <f t="shared" si="1"/>
        <v>58</v>
      </c>
    </row>
    <row r="6" spans="1:9" x14ac:dyDescent="0.2">
      <c r="A6" s="31" t="s">
        <v>79</v>
      </c>
      <c r="B6" s="24">
        <v>9</v>
      </c>
      <c r="C6" s="24">
        <v>20</v>
      </c>
      <c r="D6" s="34">
        <f t="shared" si="0"/>
        <v>29</v>
      </c>
      <c r="F6" s="31" t="s">
        <v>79</v>
      </c>
      <c r="G6" s="24">
        <v>38</v>
      </c>
      <c r="H6" s="24">
        <v>53</v>
      </c>
      <c r="I6" s="24">
        <f t="shared" si="1"/>
        <v>91</v>
      </c>
    </row>
    <row r="7" spans="1:9" x14ac:dyDescent="0.2">
      <c r="A7" s="31" t="s">
        <v>80</v>
      </c>
      <c r="B7" s="24">
        <v>4</v>
      </c>
      <c r="C7" s="24">
        <v>2</v>
      </c>
      <c r="D7" s="34">
        <f t="shared" si="0"/>
        <v>6</v>
      </c>
      <c r="F7" s="31" t="s">
        <v>80</v>
      </c>
      <c r="G7" s="24">
        <v>24</v>
      </c>
      <c r="H7" s="24">
        <v>52</v>
      </c>
      <c r="I7" s="24">
        <f t="shared" si="1"/>
        <v>76</v>
      </c>
    </row>
    <row r="8" spans="1:9" x14ac:dyDescent="0.2">
      <c r="A8" s="31" t="s">
        <v>81</v>
      </c>
      <c r="B8" s="24">
        <v>13</v>
      </c>
      <c r="C8" s="24">
        <v>27</v>
      </c>
      <c r="D8" s="34">
        <f t="shared" si="0"/>
        <v>40</v>
      </c>
      <c r="F8" s="31" t="s">
        <v>81</v>
      </c>
      <c r="G8" s="24">
        <v>73</v>
      </c>
      <c r="H8" s="24">
        <v>125</v>
      </c>
      <c r="I8" s="24">
        <f t="shared" si="1"/>
        <v>198</v>
      </c>
    </row>
    <row r="9" spans="1:9" x14ac:dyDescent="0.2">
      <c r="A9" s="32" t="s">
        <v>82</v>
      </c>
      <c r="B9" s="33">
        <v>3</v>
      </c>
      <c r="C9" s="33">
        <v>5</v>
      </c>
      <c r="D9" s="34">
        <f t="shared" si="0"/>
        <v>8</v>
      </c>
      <c r="F9" s="32" t="s">
        <v>82</v>
      </c>
      <c r="G9" s="33">
        <v>75</v>
      </c>
      <c r="H9" s="33">
        <v>102</v>
      </c>
      <c r="I9" s="24">
        <f t="shared" si="1"/>
        <v>177</v>
      </c>
    </row>
    <row r="10" spans="1:9" x14ac:dyDescent="0.2">
      <c r="A10" s="41" t="s">
        <v>1</v>
      </c>
      <c r="B10" s="7">
        <f>SUM(B3:B9)</f>
        <v>42</v>
      </c>
      <c r="C10" s="7">
        <f t="shared" ref="C10:D10" si="2">SUM(C3:C9)</f>
        <v>91</v>
      </c>
      <c r="D10" s="7">
        <f t="shared" si="2"/>
        <v>133</v>
      </c>
      <c r="F10" s="41" t="s">
        <v>1</v>
      </c>
      <c r="G10" s="7">
        <f>SUM(G3:G9)</f>
        <v>311</v>
      </c>
      <c r="H10" s="7">
        <f t="shared" ref="H10" si="3">SUM(H3:H9)</f>
        <v>497</v>
      </c>
      <c r="I10" s="38">
        <f t="shared" si="1"/>
        <v>808</v>
      </c>
    </row>
    <row r="12" spans="1:9" x14ac:dyDescent="0.2">
      <c r="A12" s="1" t="s">
        <v>86</v>
      </c>
      <c r="F12" s="1" t="s">
        <v>85</v>
      </c>
    </row>
    <row r="13" spans="1:9" x14ac:dyDescent="0.2">
      <c r="A13" t="s">
        <v>83</v>
      </c>
      <c r="B13" t="s">
        <v>65</v>
      </c>
      <c r="C13" t="s">
        <v>75</v>
      </c>
      <c r="D13" t="s">
        <v>185</v>
      </c>
      <c r="F13" t="s">
        <v>83</v>
      </c>
      <c r="G13" t="s">
        <v>65</v>
      </c>
      <c r="H13" t="s">
        <v>75</v>
      </c>
      <c r="I13" t="s">
        <v>187</v>
      </c>
    </row>
    <row r="14" spans="1:9" x14ac:dyDescent="0.2">
      <c r="A14" s="31" t="s">
        <v>76</v>
      </c>
      <c r="B14" s="35">
        <f>7/42</f>
        <v>0.16666666666666666</v>
      </c>
      <c r="C14" s="35">
        <f>18/91</f>
        <v>0.19780219780219779</v>
      </c>
      <c r="D14" s="35">
        <f>25/133</f>
        <v>0.18796992481203006</v>
      </c>
      <c r="F14" s="31" t="s">
        <v>76</v>
      </c>
      <c r="G14" s="35">
        <f>45/311</f>
        <v>0.14469453376205788</v>
      </c>
      <c r="H14" s="35">
        <f>69/497</f>
        <v>0.13883299798792756</v>
      </c>
      <c r="I14" s="35">
        <f>114/808</f>
        <v>0.14108910891089108</v>
      </c>
    </row>
    <row r="15" spans="1:9" x14ac:dyDescent="0.2">
      <c r="A15" s="31" t="s">
        <v>77</v>
      </c>
      <c r="B15" s="35">
        <f>4/42</f>
        <v>9.5238095238095233E-2</v>
      </c>
      <c r="C15" s="35">
        <f>11/91</f>
        <v>0.12087912087912088</v>
      </c>
      <c r="D15" s="35">
        <f>15/133</f>
        <v>0.11278195488721804</v>
      </c>
      <c r="F15" s="31" t="s">
        <v>77</v>
      </c>
      <c r="G15" s="35">
        <f>38/311</f>
        <v>0.12218649517684887</v>
      </c>
      <c r="H15" s="35">
        <f>56/497</f>
        <v>0.11267605633802817</v>
      </c>
      <c r="I15" s="35">
        <f>94/808</f>
        <v>0.11633663366336634</v>
      </c>
    </row>
    <row r="16" spans="1:9" x14ac:dyDescent="0.2">
      <c r="A16" s="31" t="s">
        <v>78</v>
      </c>
      <c r="B16" s="35">
        <f>2/42</f>
        <v>4.7619047619047616E-2</v>
      </c>
      <c r="C16" s="35">
        <f>8/91</f>
        <v>8.7912087912087919E-2</v>
      </c>
      <c r="D16" s="35">
        <f>10/133</f>
        <v>7.5187969924812026E-2</v>
      </c>
      <c r="F16" s="31" t="s">
        <v>78</v>
      </c>
      <c r="G16" s="35">
        <f>18/311</f>
        <v>5.7877813504823149E-2</v>
      </c>
      <c r="H16" s="35">
        <f>40/497</f>
        <v>8.0482897384305835E-2</v>
      </c>
      <c r="I16" s="35">
        <f>58/808</f>
        <v>7.1782178217821777E-2</v>
      </c>
    </row>
    <row r="17" spans="1:9" x14ac:dyDescent="0.2">
      <c r="A17" s="31" t="s">
        <v>79</v>
      </c>
      <c r="B17" s="35">
        <f>9/42</f>
        <v>0.21428571428571427</v>
      </c>
      <c r="C17" s="35">
        <f>20/91</f>
        <v>0.21978021978021978</v>
      </c>
      <c r="D17" s="35">
        <f>29/133</f>
        <v>0.21804511278195488</v>
      </c>
      <c r="F17" s="31" t="s">
        <v>79</v>
      </c>
      <c r="G17" s="35">
        <f>38/311</f>
        <v>0.12218649517684887</v>
      </c>
      <c r="H17" s="35">
        <f>53/497</f>
        <v>0.10663983903420524</v>
      </c>
      <c r="I17" s="35">
        <f>91/808</f>
        <v>0.11262376237623763</v>
      </c>
    </row>
    <row r="18" spans="1:9" x14ac:dyDescent="0.2">
      <c r="A18" s="31" t="s">
        <v>80</v>
      </c>
      <c r="B18" s="35">
        <f>4/42</f>
        <v>9.5238095238095233E-2</v>
      </c>
      <c r="C18" s="35">
        <f>2/91</f>
        <v>2.197802197802198E-2</v>
      </c>
      <c r="D18" s="35">
        <f>6/133</f>
        <v>4.5112781954887216E-2</v>
      </c>
      <c r="F18" s="31" t="s">
        <v>80</v>
      </c>
      <c r="G18" s="35">
        <f>24/311</f>
        <v>7.7170418006430874E-2</v>
      </c>
      <c r="H18" s="35">
        <f>52/497</f>
        <v>0.10462776659959759</v>
      </c>
      <c r="I18" s="35">
        <f>76/808</f>
        <v>9.405940594059406E-2</v>
      </c>
    </row>
    <row r="19" spans="1:9" x14ac:dyDescent="0.2">
      <c r="A19" s="31" t="s">
        <v>81</v>
      </c>
      <c r="B19" s="35">
        <f>13/42</f>
        <v>0.30952380952380953</v>
      </c>
      <c r="C19" s="35">
        <f>27/91</f>
        <v>0.2967032967032967</v>
      </c>
      <c r="D19" s="35">
        <f>40/133</f>
        <v>0.3007518796992481</v>
      </c>
      <c r="F19" s="31" t="s">
        <v>81</v>
      </c>
      <c r="G19" s="35">
        <f>73/311</f>
        <v>0.2347266881028939</v>
      </c>
      <c r="H19" s="35">
        <f>125/497</f>
        <v>0.25150905432595572</v>
      </c>
      <c r="I19" s="35">
        <f>198/808</f>
        <v>0.24504950495049505</v>
      </c>
    </row>
    <row r="20" spans="1:9" x14ac:dyDescent="0.2">
      <c r="A20" s="32" t="s">
        <v>82</v>
      </c>
      <c r="B20" s="35">
        <f>3/42</f>
        <v>7.1428571428571425E-2</v>
      </c>
      <c r="C20" s="35">
        <f>5/91</f>
        <v>5.4945054945054944E-2</v>
      </c>
      <c r="D20" s="35">
        <f>8/133</f>
        <v>6.0150375939849621E-2</v>
      </c>
      <c r="F20" s="32" t="s">
        <v>82</v>
      </c>
      <c r="G20" s="35">
        <f>75/311</f>
        <v>0.24115755627009647</v>
      </c>
      <c r="H20" s="35">
        <f>102/497</f>
        <v>0.20523138832997989</v>
      </c>
      <c r="I20" s="35">
        <f>177/808</f>
        <v>0.21905940594059406</v>
      </c>
    </row>
    <row r="21" spans="1:9" x14ac:dyDescent="0.2">
      <c r="A21" s="41" t="s">
        <v>1</v>
      </c>
      <c r="B21" s="37">
        <f>SUM(B14:B20)</f>
        <v>0.99999999999999989</v>
      </c>
      <c r="C21" s="37">
        <f t="shared" ref="C21:D21" si="4">SUM(C14:C20)</f>
        <v>1</v>
      </c>
      <c r="D21" s="37">
        <f t="shared" si="4"/>
        <v>0.99999999999999989</v>
      </c>
      <c r="F21" s="41" t="s">
        <v>1</v>
      </c>
      <c r="G21" s="37">
        <f>SUM(G14:G20)</f>
        <v>1</v>
      </c>
      <c r="H21" s="37">
        <f>SUM(H14:H20)</f>
        <v>1</v>
      </c>
      <c r="I21" s="37">
        <f t="shared" ref="I21" si="5">SUM(I14:I20)</f>
        <v>1</v>
      </c>
    </row>
  </sheetData>
  <pageMargins left="0.7" right="0.7" top="0.75" bottom="0.75" header="0.3" footer="0.3"/>
  <ignoredErrors>
    <ignoredError sqref="G16" formula="1"/>
  </ignoredErrors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5732-73D2-CC45-A973-4861377E9242}">
  <dimension ref="A1:I32"/>
  <sheetViews>
    <sheetView topLeftCell="A11" workbookViewId="0">
      <selection activeCell="D28" sqref="D28:D38"/>
    </sheetView>
  </sheetViews>
  <sheetFormatPr baseColWidth="10" defaultColWidth="11.5" defaultRowHeight="15" x14ac:dyDescent="0.2"/>
  <cols>
    <col min="1" max="1" width="22.6640625" bestFit="1" customWidth="1"/>
    <col min="6" max="6" width="24.5" customWidth="1"/>
  </cols>
  <sheetData>
    <row r="1" spans="1:9" x14ac:dyDescent="0.2">
      <c r="A1" s="1" t="s">
        <v>113</v>
      </c>
      <c r="F1" s="1" t="s">
        <v>112</v>
      </c>
    </row>
    <row r="2" spans="1:9" x14ac:dyDescent="0.2">
      <c r="A2" t="s">
        <v>116</v>
      </c>
      <c r="B2" t="s">
        <v>65</v>
      </c>
      <c r="C2" t="s">
        <v>75</v>
      </c>
      <c r="D2" t="s">
        <v>1</v>
      </c>
      <c r="F2" t="s">
        <v>116</v>
      </c>
      <c r="G2" t="s">
        <v>65</v>
      </c>
      <c r="H2" t="s">
        <v>75</v>
      </c>
      <c r="I2" t="s">
        <v>1</v>
      </c>
    </row>
    <row r="3" spans="1:9" x14ac:dyDescent="0.2">
      <c r="A3" t="s">
        <v>100</v>
      </c>
      <c r="B3" s="45">
        <v>0</v>
      </c>
      <c r="C3" s="45">
        <v>0</v>
      </c>
      <c r="D3" s="45">
        <v>0</v>
      </c>
      <c r="F3" t="s">
        <v>100</v>
      </c>
      <c r="G3">
        <v>2</v>
      </c>
      <c r="H3" s="45">
        <v>0</v>
      </c>
      <c r="I3">
        <f>SUM(G3:H3)</f>
        <v>2</v>
      </c>
    </row>
    <row r="4" spans="1:9" x14ac:dyDescent="0.2">
      <c r="A4" t="s">
        <v>101</v>
      </c>
      <c r="B4">
        <v>3</v>
      </c>
      <c r="C4">
        <v>1</v>
      </c>
      <c r="D4">
        <f t="shared" ref="D4:D14" si="0">SUM(B4:C4)</f>
        <v>4</v>
      </c>
      <c r="F4" t="s">
        <v>101</v>
      </c>
      <c r="G4">
        <v>7</v>
      </c>
      <c r="H4">
        <v>7</v>
      </c>
      <c r="I4">
        <f t="shared" ref="I4:I14" si="1">SUM(G4:H4)</f>
        <v>14</v>
      </c>
    </row>
    <row r="5" spans="1:9" x14ac:dyDescent="0.2">
      <c r="A5" t="s">
        <v>102</v>
      </c>
      <c r="B5">
        <v>1</v>
      </c>
      <c r="C5" s="45">
        <v>0</v>
      </c>
      <c r="D5">
        <f t="shared" si="0"/>
        <v>1</v>
      </c>
      <c r="F5" t="s">
        <v>102</v>
      </c>
      <c r="G5">
        <v>7</v>
      </c>
      <c r="H5">
        <v>8</v>
      </c>
      <c r="I5">
        <f t="shared" si="1"/>
        <v>15</v>
      </c>
    </row>
    <row r="6" spans="1:9" x14ac:dyDescent="0.2">
      <c r="A6" t="s">
        <v>111</v>
      </c>
      <c r="B6" s="45">
        <v>0</v>
      </c>
      <c r="C6">
        <v>1</v>
      </c>
      <c r="D6">
        <f t="shared" si="0"/>
        <v>1</v>
      </c>
      <c r="F6" t="s">
        <v>111</v>
      </c>
      <c r="G6">
        <v>18</v>
      </c>
      <c r="H6">
        <v>32</v>
      </c>
      <c r="I6">
        <f t="shared" si="1"/>
        <v>50</v>
      </c>
    </row>
    <row r="7" spans="1:9" x14ac:dyDescent="0.2">
      <c r="A7" t="s">
        <v>103</v>
      </c>
      <c r="B7">
        <v>3</v>
      </c>
      <c r="C7">
        <v>5</v>
      </c>
      <c r="D7">
        <f t="shared" si="0"/>
        <v>8</v>
      </c>
      <c r="F7" t="s">
        <v>103</v>
      </c>
      <c r="G7">
        <v>7</v>
      </c>
      <c r="H7">
        <v>19</v>
      </c>
      <c r="I7">
        <f t="shared" si="1"/>
        <v>26</v>
      </c>
    </row>
    <row r="8" spans="1:9" x14ac:dyDescent="0.2">
      <c r="A8" t="s">
        <v>104</v>
      </c>
      <c r="B8">
        <v>19</v>
      </c>
      <c r="C8">
        <v>53</v>
      </c>
      <c r="D8">
        <f t="shared" si="0"/>
        <v>72</v>
      </c>
      <c r="F8" t="s">
        <v>104</v>
      </c>
      <c r="G8">
        <v>102</v>
      </c>
      <c r="H8">
        <v>206</v>
      </c>
      <c r="I8">
        <f t="shared" si="1"/>
        <v>308</v>
      </c>
    </row>
    <row r="9" spans="1:9" x14ac:dyDescent="0.2">
      <c r="A9" t="s">
        <v>105</v>
      </c>
      <c r="B9">
        <v>2</v>
      </c>
      <c r="C9">
        <v>4</v>
      </c>
      <c r="D9">
        <f t="shared" si="0"/>
        <v>6</v>
      </c>
      <c r="F9" t="s">
        <v>105</v>
      </c>
      <c r="G9">
        <v>9</v>
      </c>
      <c r="H9">
        <v>10</v>
      </c>
      <c r="I9">
        <f t="shared" si="1"/>
        <v>19</v>
      </c>
    </row>
    <row r="10" spans="1:9" x14ac:dyDescent="0.2">
      <c r="A10" t="s">
        <v>106</v>
      </c>
      <c r="B10">
        <v>10</v>
      </c>
      <c r="C10">
        <v>21</v>
      </c>
      <c r="D10">
        <f t="shared" si="0"/>
        <v>31</v>
      </c>
      <c r="F10" t="s">
        <v>106</v>
      </c>
      <c r="G10">
        <v>78</v>
      </c>
      <c r="H10">
        <v>105</v>
      </c>
      <c r="I10">
        <f t="shared" si="1"/>
        <v>183</v>
      </c>
    </row>
    <row r="11" spans="1:9" x14ac:dyDescent="0.2">
      <c r="A11" t="s">
        <v>107</v>
      </c>
      <c r="B11" s="45">
        <v>0</v>
      </c>
      <c r="C11" s="45">
        <v>0</v>
      </c>
      <c r="D11" s="45">
        <v>0</v>
      </c>
      <c r="F11" t="s">
        <v>107</v>
      </c>
      <c r="G11" s="45">
        <v>0</v>
      </c>
      <c r="H11">
        <v>2</v>
      </c>
      <c r="I11">
        <f t="shared" si="1"/>
        <v>2</v>
      </c>
    </row>
    <row r="12" spans="1:9" x14ac:dyDescent="0.2">
      <c r="A12" t="s">
        <v>109</v>
      </c>
      <c r="B12" s="45">
        <v>0</v>
      </c>
      <c r="C12">
        <v>1</v>
      </c>
      <c r="D12">
        <f t="shared" si="0"/>
        <v>1</v>
      </c>
      <c r="F12" t="s">
        <v>109</v>
      </c>
      <c r="G12">
        <v>2</v>
      </c>
      <c r="H12">
        <v>4</v>
      </c>
      <c r="I12">
        <f t="shared" si="1"/>
        <v>6</v>
      </c>
    </row>
    <row r="13" spans="1:9" x14ac:dyDescent="0.2">
      <c r="A13" t="s">
        <v>110</v>
      </c>
      <c r="B13" s="45">
        <v>0</v>
      </c>
      <c r="C13" s="45">
        <v>0</v>
      </c>
      <c r="D13" s="45">
        <v>0</v>
      </c>
      <c r="F13" t="s">
        <v>110</v>
      </c>
      <c r="G13">
        <v>1</v>
      </c>
      <c r="H13">
        <v>2</v>
      </c>
      <c r="I13">
        <f t="shared" si="1"/>
        <v>3</v>
      </c>
    </row>
    <row r="14" spans="1:9" x14ac:dyDescent="0.2">
      <c r="A14" t="s">
        <v>108</v>
      </c>
      <c r="B14">
        <v>4</v>
      </c>
      <c r="C14">
        <v>5</v>
      </c>
      <c r="D14">
        <f t="shared" si="0"/>
        <v>9</v>
      </c>
      <c r="F14" t="s">
        <v>108</v>
      </c>
      <c r="G14">
        <v>78</v>
      </c>
      <c r="H14">
        <v>102</v>
      </c>
      <c r="I14">
        <f t="shared" si="1"/>
        <v>180</v>
      </c>
    </row>
    <row r="15" spans="1:9" x14ac:dyDescent="0.2">
      <c r="A15" s="7" t="s">
        <v>1</v>
      </c>
      <c r="B15" s="7">
        <f>SUM(B3:B14)</f>
        <v>42</v>
      </c>
      <c r="C15" s="7">
        <f t="shared" ref="C15:D15" si="2">SUM(C3:C14)</f>
        <v>91</v>
      </c>
      <c r="D15" s="7">
        <f t="shared" si="2"/>
        <v>133</v>
      </c>
      <c r="F15" s="7" t="s">
        <v>1</v>
      </c>
      <c r="G15" s="7">
        <f>SUM(G3:G14)</f>
        <v>311</v>
      </c>
      <c r="H15" s="7">
        <f t="shared" ref="H15:I15" si="3">SUM(H3:H14)</f>
        <v>497</v>
      </c>
      <c r="I15" s="7">
        <f t="shared" si="3"/>
        <v>808</v>
      </c>
    </row>
    <row r="18" spans="1:9" x14ac:dyDescent="0.2">
      <c r="A18" s="1" t="s">
        <v>115</v>
      </c>
      <c r="F18" s="1" t="s">
        <v>114</v>
      </c>
    </row>
    <row r="19" spans="1:9" x14ac:dyDescent="0.2">
      <c r="A19" t="s">
        <v>116</v>
      </c>
      <c r="B19" t="s">
        <v>65</v>
      </c>
      <c r="C19" t="s">
        <v>75</v>
      </c>
      <c r="D19" t="s">
        <v>185</v>
      </c>
      <c r="F19" t="s">
        <v>116</v>
      </c>
      <c r="G19" t="s">
        <v>65</v>
      </c>
      <c r="H19" t="s">
        <v>75</v>
      </c>
      <c r="I19" t="s">
        <v>187</v>
      </c>
    </row>
    <row r="20" spans="1:9" x14ac:dyDescent="0.2">
      <c r="A20" t="s">
        <v>100</v>
      </c>
      <c r="B20" s="36">
        <f>0/42</f>
        <v>0</v>
      </c>
      <c r="C20" s="36">
        <f>0/91</f>
        <v>0</v>
      </c>
      <c r="D20" s="36">
        <f>0/133</f>
        <v>0</v>
      </c>
      <c r="F20" t="s">
        <v>100</v>
      </c>
      <c r="G20" s="36">
        <f>2/311</f>
        <v>6.4308681672025723E-3</v>
      </c>
      <c r="H20" s="36">
        <f>0/497</f>
        <v>0</v>
      </c>
      <c r="I20" s="36">
        <f>2/808</f>
        <v>2.4752475247524753E-3</v>
      </c>
    </row>
    <row r="21" spans="1:9" x14ac:dyDescent="0.2">
      <c r="A21" t="s">
        <v>101</v>
      </c>
      <c r="B21" s="36">
        <f>3/42</f>
        <v>7.1428571428571425E-2</v>
      </c>
      <c r="C21" s="36">
        <f>1/91</f>
        <v>1.098901098901099E-2</v>
      </c>
      <c r="D21" s="36">
        <f>4/133</f>
        <v>3.007518796992481E-2</v>
      </c>
      <c r="F21" t="s">
        <v>101</v>
      </c>
      <c r="G21" s="36">
        <f>7/311</f>
        <v>2.2508038585209004E-2</v>
      </c>
      <c r="H21" s="36">
        <f>7/497</f>
        <v>1.4084507042253521E-2</v>
      </c>
      <c r="I21" s="36">
        <f>14/808</f>
        <v>1.7326732673267328E-2</v>
      </c>
    </row>
    <row r="22" spans="1:9" x14ac:dyDescent="0.2">
      <c r="A22" t="s">
        <v>102</v>
      </c>
      <c r="B22" s="36">
        <f>1/42</f>
        <v>2.3809523809523808E-2</v>
      </c>
      <c r="C22" s="36">
        <f t="shared" ref="C22:C30" si="4">0/91</f>
        <v>0</v>
      </c>
      <c r="D22" s="36">
        <f>1/133</f>
        <v>7.5187969924812026E-3</v>
      </c>
      <c r="F22" t="s">
        <v>102</v>
      </c>
      <c r="G22" s="36">
        <f>7/311</f>
        <v>2.2508038585209004E-2</v>
      </c>
      <c r="H22" s="36">
        <f>8/497</f>
        <v>1.6096579476861168E-2</v>
      </c>
      <c r="I22" s="36">
        <f>15/808</f>
        <v>1.8564356435643563E-2</v>
      </c>
    </row>
    <row r="23" spans="1:9" x14ac:dyDescent="0.2">
      <c r="A23" t="s">
        <v>111</v>
      </c>
      <c r="B23" s="36">
        <f>0/42</f>
        <v>0</v>
      </c>
      <c r="C23" s="36">
        <f>1/91</f>
        <v>1.098901098901099E-2</v>
      </c>
      <c r="D23" s="36">
        <f>1/133</f>
        <v>7.5187969924812026E-3</v>
      </c>
      <c r="F23" t="s">
        <v>111</v>
      </c>
      <c r="G23" s="36">
        <f>18/311</f>
        <v>5.7877813504823149E-2</v>
      </c>
      <c r="H23" s="36">
        <f>32/497</f>
        <v>6.4386317907444673E-2</v>
      </c>
      <c r="I23" s="36">
        <f>50/808</f>
        <v>6.1881188118811881E-2</v>
      </c>
    </row>
    <row r="24" spans="1:9" x14ac:dyDescent="0.2">
      <c r="A24" t="s">
        <v>103</v>
      </c>
      <c r="B24" s="36">
        <f>3/42</f>
        <v>7.1428571428571425E-2</v>
      </c>
      <c r="C24" s="36">
        <f>5/91</f>
        <v>5.4945054945054944E-2</v>
      </c>
      <c r="D24" s="36">
        <f>8/133</f>
        <v>6.0150375939849621E-2</v>
      </c>
      <c r="F24" t="s">
        <v>103</v>
      </c>
      <c r="G24" s="36">
        <f>7/311</f>
        <v>2.2508038585209004E-2</v>
      </c>
      <c r="H24" s="36">
        <f>19/497</f>
        <v>3.8229376257545272E-2</v>
      </c>
      <c r="I24" s="36">
        <f>26/808</f>
        <v>3.2178217821782179E-2</v>
      </c>
    </row>
    <row r="25" spans="1:9" x14ac:dyDescent="0.2">
      <c r="A25" t="s">
        <v>104</v>
      </c>
      <c r="B25" s="36">
        <f>19/42</f>
        <v>0.45238095238095238</v>
      </c>
      <c r="C25" s="36">
        <f>53/91</f>
        <v>0.58241758241758246</v>
      </c>
      <c r="D25" s="36">
        <f>72/133</f>
        <v>0.54135338345864659</v>
      </c>
      <c r="F25" t="s">
        <v>104</v>
      </c>
      <c r="G25" s="36">
        <f>102/311</f>
        <v>0.32797427652733119</v>
      </c>
      <c r="H25" s="36">
        <f>206/497</f>
        <v>0.41448692152917505</v>
      </c>
      <c r="I25" s="36">
        <f>308/808</f>
        <v>0.38118811881188119</v>
      </c>
    </row>
    <row r="26" spans="1:9" x14ac:dyDescent="0.2">
      <c r="A26" t="s">
        <v>105</v>
      </c>
      <c r="B26" s="36">
        <f>2/42</f>
        <v>4.7619047619047616E-2</v>
      </c>
      <c r="C26" s="36">
        <f>4/91</f>
        <v>4.3956043956043959E-2</v>
      </c>
      <c r="D26" s="36">
        <f>6/133</f>
        <v>4.5112781954887216E-2</v>
      </c>
      <c r="F26" t="s">
        <v>105</v>
      </c>
      <c r="G26" s="36">
        <f>9/311</f>
        <v>2.8938906752411574E-2</v>
      </c>
      <c r="H26" s="36">
        <f>10/497</f>
        <v>2.0120724346076459E-2</v>
      </c>
      <c r="I26" s="36">
        <f>19/808</f>
        <v>2.3514851485148515E-2</v>
      </c>
    </row>
    <row r="27" spans="1:9" x14ac:dyDescent="0.2">
      <c r="A27" t="s">
        <v>106</v>
      </c>
      <c r="B27" s="36">
        <f>10/42</f>
        <v>0.23809523809523808</v>
      </c>
      <c r="C27" s="36">
        <f>21/91</f>
        <v>0.23076923076923078</v>
      </c>
      <c r="D27" s="36">
        <f>31/133</f>
        <v>0.23308270676691728</v>
      </c>
      <c r="F27" t="s">
        <v>106</v>
      </c>
      <c r="G27" s="36">
        <f>78/311</f>
        <v>0.25080385852090031</v>
      </c>
      <c r="H27" s="36">
        <f>105/497</f>
        <v>0.21126760563380281</v>
      </c>
      <c r="I27" s="36">
        <f>183/808</f>
        <v>0.22648514851485149</v>
      </c>
    </row>
    <row r="28" spans="1:9" x14ac:dyDescent="0.2">
      <c r="A28" t="s">
        <v>107</v>
      </c>
      <c r="B28" s="36">
        <f>0/42</f>
        <v>0</v>
      </c>
      <c r="C28" s="36">
        <f>0/91</f>
        <v>0</v>
      </c>
      <c r="D28" s="36">
        <f>0/133</f>
        <v>0</v>
      </c>
      <c r="F28" t="s">
        <v>107</v>
      </c>
      <c r="G28" s="36">
        <f>0/311</f>
        <v>0</v>
      </c>
      <c r="H28" s="36">
        <f>2/497</f>
        <v>4.0241448692152921E-3</v>
      </c>
      <c r="I28" s="36">
        <f>2/808</f>
        <v>2.4752475247524753E-3</v>
      </c>
    </row>
    <row r="29" spans="1:9" x14ac:dyDescent="0.2">
      <c r="A29" t="s">
        <v>109</v>
      </c>
      <c r="B29" s="36">
        <f t="shared" ref="B29:B30" si="5">0/42</f>
        <v>0</v>
      </c>
      <c r="C29" s="36">
        <f>1/91</f>
        <v>1.098901098901099E-2</v>
      </c>
      <c r="D29" s="36">
        <f>1/133</f>
        <v>7.5187969924812026E-3</v>
      </c>
      <c r="F29" t="s">
        <v>109</v>
      </c>
      <c r="G29" s="36">
        <f>2/311</f>
        <v>6.4308681672025723E-3</v>
      </c>
      <c r="H29" s="36">
        <f>4/497</f>
        <v>8.0482897384305842E-3</v>
      </c>
      <c r="I29" s="36">
        <f>6/808</f>
        <v>7.4257425742574254E-3</v>
      </c>
    </row>
    <row r="30" spans="1:9" x14ac:dyDescent="0.2">
      <c r="A30" t="s">
        <v>110</v>
      </c>
      <c r="B30" s="36">
        <f t="shared" si="5"/>
        <v>0</v>
      </c>
      <c r="C30" s="36">
        <f t="shared" si="4"/>
        <v>0</v>
      </c>
      <c r="D30" s="36">
        <f>0/133</f>
        <v>0</v>
      </c>
      <c r="F30" t="s">
        <v>110</v>
      </c>
      <c r="G30" s="36">
        <f>1/311</f>
        <v>3.2154340836012861E-3</v>
      </c>
      <c r="H30" s="36">
        <f>2/497</f>
        <v>4.0241448692152921E-3</v>
      </c>
      <c r="I30" s="36">
        <f>3/808</f>
        <v>3.7128712871287127E-3</v>
      </c>
    </row>
    <row r="31" spans="1:9" x14ac:dyDescent="0.2">
      <c r="A31" t="s">
        <v>108</v>
      </c>
      <c r="B31" s="36">
        <f>4/42</f>
        <v>9.5238095238095233E-2</v>
      </c>
      <c r="C31" s="36">
        <f>5/91</f>
        <v>5.4945054945054944E-2</v>
      </c>
      <c r="D31" s="36">
        <f>9/133</f>
        <v>6.7669172932330823E-2</v>
      </c>
      <c r="F31" t="s">
        <v>108</v>
      </c>
      <c r="G31" s="36">
        <f>78/311</f>
        <v>0.25080385852090031</v>
      </c>
      <c r="H31" s="36">
        <f>102/497</f>
        <v>0.20523138832997989</v>
      </c>
      <c r="I31" s="36">
        <f>180/808</f>
        <v>0.22277227722772278</v>
      </c>
    </row>
    <row r="32" spans="1:9" x14ac:dyDescent="0.2">
      <c r="A32" s="7" t="s">
        <v>1</v>
      </c>
      <c r="B32" s="37">
        <f>SUM(B20:B31)</f>
        <v>1</v>
      </c>
      <c r="C32" s="37">
        <f t="shared" ref="C32:D32" si="6">SUM(C20:C31)</f>
        <v>1</v>
      </c>
      <c r="D32" s="37">
        <f t="shared" si="6"/>
        <v>1</v>
      </c>
      <c r="F32" s="7" t="s">
        <v>1</v>
      </c>
      <c r="G32" s="37">
        <f>SUM(G20:G31)</f>
        <v>1</v>
      </c>
      <c r="H32" s="37">
        <f t="shared" ref="H32:I32" si="7">SUM(H20:H31)</f>
        <v>1.0000000000000002</v>
      </c>
      <c r="I32" s="37">
        <f t="shared" si="7"/>
        <v>1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Explainer</vt:lpstr>
      <vt:lpstr>Total call numbers</vt:lpstr>
      <vt:lpstr>Energy cases</vt:lpstr>
      <vt:lpstr>Retailers</vt:lpstr>
      <vt:lpstr>Median debts</vt:lpstr>
      <vt:lpstr>Large debts</vt:lpstr>
      <vt:lpstr>Income Source</vt:lpstr>
      <vt:lpstr>Family type</vt:lpstr>
      <vt:lpstr>Housing</vt:lpstr>
      <vt:lpstr>Identity</vt:lpstr>
      <vt:lpstr>Flagged Vulnerability</vt:lpstr>
      <vt:lpstr>Age</vt:lpstr>
      <vt:lpstr>Region</vt:lpstr>
      <vt:lpstr>COVID-19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Lovell</dc:creator>
  <cp:keywords/>
  <dc:description/>
  <cp:lastModifiedBy>Microsoft Office User</cp:lastModifiedBy>
  <cp:revision/>
  <dcterms:created xsi:type="dcterms:W3CDTF">2021-01-12T02:16:13Z</dcterms:created>
  <dcterms:modified xsi:type="dcterms:W3CDTF">2021-09-07T04:12:16Z</dcterms:modified>
  <cp:category/>
  <cp:contentStatus/>
</cp:coreProperties>
</file>